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Documenten\LWEO\schrijversclub\2021-2022\"/>
    </mc:Choice>
  </mc:AlternateContent>
  <xr:revisionPtr revIDLastSave="0" documentId="8_{63BB8CFD-DE12-45BE-9219-778A7B864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shboard " sheetId="16" r:id="rId1"/>
    <sheet name="QV en TO ronde 1" sheetId="1" state="hidden" r:id="rId2"/>
    <sheet name="QV en TO ronde 2" sheetId="2" state="hidden" r:id="rId3"/>
    <sheet name="QV en TO ronde 4" sheetId="3" state="hidden" r:id="rId4"/>
    <sheet name="QV en TO ronde 3" sheetId="4" state="hidden" r:id="rId5"/>
    <sheet name="QV en TO ronde 5" sheetId="5" state="hidden" r:id="rId6"/>
    <sheet name="QV en TO ronde 6" sheetId="6" state="hidden" r:id="rId7"/>
    <sheet name="Keuzes" sheetId="7" state="hidden" r:id="rId8"/>
    <sheet name="Uitkomst Ronde 1" sheetId="8" state="hidden" r:id="rId9"/>
    <sheet name="Uitkomst Ronde 2" sheetId="9" state="hidden" r:id="rId10"/>
    <sheet name="Uitkomst ronde 3" sheetId="10" state="hidden" r:id="rId11"/>
    <sheet name="Uitkomst ronde 4" sheetId="11" state="hidden" r:id="rId12"/>
    <sheet name="Uitkomst ronde 5" sheetId="12" state="hidden" r:id="rId13"/>
    <sheet name="Uitkomst ronde 6" sheetId="13" state="hidden" r:id="rId14"/>
    <sheet name="Kosten" sheetId="14" state="hidden" r:id="rId15"/>
    <sheet name="Capaciteit" sheetId="15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6" l="1"/>
  <c r="G15" i="16"/>
  <c r="H17" i="16" s="1"/>
  <c r="G12" i="16"/>
  <c r="G11" i="16"/>
  <c r="H13" i="16" s="1"/>
  <c r="E7" i="16"/>
  <c r="D7" i="16"/>
  <c r="E8" i="16" s="1"/>
  <c r="E6" i="16" s="1"/>
  <c r="K6" i="16"/>
  <c r="K5" i="16"/>
  <c r="E5" i="16"/>
  <c r="G4" i="16" s="1"/>
  <c r="K4" i="16"/>
  <c r="K3" i="16"/>
  <c r="L7" i="16" s="1"/>
  <c r="H10" i="15"/>
  <c r="E10" i="15"/>
  <c r="D10" i="15"/>
  <c r="H9" i="15"/>
  <c r="G9" i="15"/>
  <c r="G10" i="15" s="1"/>
  <c r="F9" i="15"/>
  <c r="F10" i="15" s="1"/>
  <c r="E9" i="15"/>
  <c r="D9" i="15"/>
  <c r="H8" i="15"/>
  <c r="D8" i="15"/>
  <c r="D11" i="15" s="1"/>
  <c r="H7" i="15"/>
  <c r="G7" i="15"/>
  <c r="G8" i="15" s="1"/>
  <c r="G11" i="15" s="1"/>
  <c r="F7" i="15"/>
  <c r="F8" i="15" s="1"/>
  <c r="E7" i="15"/>
  <c r="E8" i="15" s="1"/>
  <c r="E11" i="15" s="1"/>
  <c r="D7" i="15"/>
  <c r="H6" i="15"/>
  <c r="E6" i="15"/>
  <c r="D6" i="15"/>
  <c r="H5" i="15"/>
  <c r="G5" i="15"/>
  <c r="G6" i="15" s="1"/>
  <c r="F5" i="15"/>
  <c r="F6" i="15" s="1"/>
  <c r="E5" i="15"/>
  <c r="D5" i="15"/>
  <c r="G4" i="15"/>
  <c r="G13" i="15" s="1"/>
  <c r="D4" i="15"/>
  <c r="D13" i="15" s="1"/>
  <c r="H3" i="15"/>
  <c r="H4" i="15" s="1"/>
  <c r="G3" i="15"/>
  <c r="F3" i="15"/>
  <c r="F4" i="15" s="1"/>
  <c r="E3" i="15"/>
  <c r="E4" i="15" s="1"/>
  <c r="D3" i="15"/>
  <c r="J8" i="14"/>
  <c r="I8" i="14"/>
  <c r="H8" i="14"/>
  <c r="G8" i="14"/>
  <c r="F8" i="14"/>
  <c r="E8" i="14"/>
  <c r="J6" i="14"/>
  <c r="I6" i="14"/>
  <c r="H6" i="14"/>
  <c r="G6" i="14"/>
  <c r="F6" i="14"/>
  <c r="J5" i="14"/>
  <c r="I5" i="14"/>
  <c r="H5" i="14"/>
  <c r="G5" i="14"/>
  <c r="F5" i="14"/>
  <c r="J4" i="14"/>
  <c r="I4" i="14"/>
  <c r="H4" i="14"/>
  <c r="G4" i="14"/>
  <c r="F4" i="14"/>
  <c r="J3" i="14"/>
  <c r="J10" i="14" s="1"/>
  <c r="I3" i="14"/>
  <c r="I10" i="14" s="1"/>
  <c r="H3" i="14"/>
  <c r="H10" i="14" s="1"/>
  <c r="G3" i="14"/>
  <c r="G10" i="14" s="1"/>
  <c r="F3" i="14"/>
  <c r="F10" i="14" s="1"/>
  <c r="G12" i="8"/>
  <c r="F12" i="8"/>
  <c r="E12" i="8"/>
  <c r="D12" i="8"/>
  <c r="C12" i="8"/>
  <c r="F4" i="8"/>
  <c r="C4" i="8"/>
  <c r="G22" i="7"/>
  <c r="O22" i="7" s="1"/>
  <c r="W22" i="7" s="1"/>
  <c r="F22" i="7"/>
  <c r="N22" i="7" s="1"/>
  <c r="V22" i="7" s="1"/>
  <c r="E22" i="7"/>
  <c r="M22" i="7" s="1"/>
  <c r="U22" i="7" s="1"/>
  <c r="D22" i="7"/>
  <c r="L22" i="7" s="1"/>
  <c r="T22" i="7" s="1"/>
  <c r="C22" i="7"/>
  <c r="K22" i="7" s="1"/>
  <c r="S22" i="7" s="1"/>
  <c r="B22" i="7"/>
  <c r="J22" i="7" s="1"/>
  <c r="R22" i="7" s="1"/>
  <c r="N20" i="7"/>
  <c r="V20" i="7" s="1"/>
  <c r="M20" i="7"/>
  <c r="U20" i="7" s="1"/>
  <c r="J20" i="7"/>
  <c r="R20" i="7" s="1"/>
  <c r="G20" i="7"/>
  <c r="O20" i="7" s="1"/>
  <c r="W20" i="7" s="1"/>
  <c r="F20" i="7"/>
  <c r="E20" i="7"/>
  <c r="D20" i="7"/>
  <c r="L20" i="7" s="1"/>
  <c r="T20" i="7" s="1"/>
  <c r="C20" i="7"/>
  <c r="K20" i="7" s="1"/>
  <c r="S20" i="7" s="1"/>
  <c r="B20" i="7"/>
  <c r="U12" i="7"/>
  <c r="E26" i="7" s="1"/>
  <c r="T12" i="7"/>
  <c r="O12" i="7"/>
  <c r="W12" i="7" s="1"/>
  <c r="N12" i="7"/>
  <c r="V12" i="7" s="1"/>
  <c r="M12" i="7"/>
  <c r="L12" i="7"/>
  <c r="K12" i="7"/>
  <c r="S12" i="7" s="1"/>
  <c r="J12" i="7"/>
  <c r="R12" i="7" s="1"/>
  <c r="B12" i="7"/>
  <c r="V11" i="7"/>
  <c r="U11" i="7"/>
  <c r="R11" i="7"/>
  <c r="O11" i="7"/>
  <c r="W11" i="7" s="1"/>
  <c r="N11" i="7"/>
  <c r="M11" i="7"/>
  <c r="L11" i="7"/>
  <c r="T11" i="7" s="1"/>
  <c r="K11" i="7"/>
  <c r="S11" i="7" s="1"/>
  <c r="J11" i="7"/>
  <c r="B11" i="7"/>
  <c r="W10" i="7"/>
  <c r="G24" i="7" s="1"/>
  <c r="V10" i="7"/>
  <c r="F24" i="7" s="1"/>
  <c r="S10" i="7"/>
  <c r="C24" i="7" s="1"/>
  <c r="O10" i="7"/>
  <c r="N10" i="7"/>
  <c r="M10" i="7"/>
  <c r="U10" i="7" s="1"/>
  <c r="L10" i="7"/>
  <c r="T10" i="7" s="1"/>
  <c r="K10" i="7"/>
  <c r="B10" i="7"/>
  <c r="J10" i="7" s="1"/>
  <c r="W9" i="7"/>
  <c r="G23" i="7" s="1"/>
  <c r="T9" i="7"/>
  <c r="D23" i="7" s="1"/>
  <c r="S9" i="7"/>
  <c r="C23" i="7" s="1"/>
  <c r="O9" i="7"/>
  <c r="N9" i="7"/>
  <c r="V9" i="7" s="1"/>
  <c r="M9" i="7"/>
  <c r="U9" i="7" s="1"/>
  <c r="L9" i="7"/>
  <c r="K9" i="7"/>
  <c r="B9" i="7"/>
  <c r="O8" i="7"/>
  <c r="N8" i="7"/>
  <c r="M8" i="7"/>
  <c r="L8" i="7"/>
  <c r="K8" i="7"/>
  <c r="J8" i="7"/>
  <c r="W7" i="7"/>
  <c r="X8" i="14" s="1"/>
  <c r="V7" i="7"/>
  <c r="W8" i="14" s="1"/>
  <c r="S7" i="7"/>
  <c r="T8" i="14" s="1"/>
  <c r="R7" i="7"/>
  <c r="S8" i="14" s="1"/>
  <c r="O7" i="7"/>
  <c r="Q8" i="14" s="1"/>
  <c r="N7" i="7"/>
  <c r="P8" i="14" s="1"/>
  <c r="M7" i="7"/>
  <c r="O8" i="14" s="1"/>
  <c r="L7" i="7"/>
  <c r="N8" i="14" s="1"/>
  <c r="K7" i="7"/>
  <c r="M8" i="14" s="1"/>
  <c r="J7" i="7"/>
  <c r="L8" i="14" s="1"/>
  <c r="O6" i="7"/>
  <c r="N6" i="7"/>
  <c r="M6" i="7"/>
  <c r="L6" i="7"/>
  <c r="K6" i="7"/>
  <c r="J6" i="7"/>
  <c r="U5" i="7"/>
  <c r="E19" i="7" s="1"/>
  <c r="M19" i="7" s="1"/>
  <c r="U19" i="7" s="1"/>
  <c r="T5" i="7"/>
  <c r="D19" i="7" s="1"/>
  <c r="L19" i="7" s="1"/>
  <c r="T19" i="7" s="1"/>
  <c r="O5" i="7"/>
  <c r="W5" i="7" s="1"/>
  <c r="G19" i="7" s="1"/>
  <c r="O19" i="7" s="1"/>
  <c r="W19" i="7" s="1"/>
  <c r="N5" i="7"/>
  <c r="V5" i="7" s="1"/>
  <c r="F19" i="7" s="1"/>
  <c r="N19" i="7" s="1"/>
  <c r="V19" i="7" s="1"/>
  <c r="M5" i="7"/>
  <c r="L5" i="7"/>
  <c r="K5" i="7"/>
  <c r="S5" i="7" s="1"/>
  <c r="C19" i="7" s="1"/>
  <c r="K19" i="7" s="1"/>
  <c r="S19" i="7" s="1"/>
  <c r="J5" i="7"/>
  <c r="R5" i="7" s="1"/>
  <c r="B19" i="7" s="1"/>
  <c r="J19" i="7" s="1"/>
  <c r="R19" i="7" s="1"/>
  <c r="B5" i="7"/>
  <c r="V4" i="7"/>
  <c r="F18" i="7" s="1"/>
  <c r="N18" i="7" s="1"/>
  <c r="V18" i="7" s="1"/>
  <c r="U4" i="7"/>
  <c r="E18" i="7" s="1"/>
  <c r="M18" i="7" s="1"/>
  <c r="U18" i="7" s="1"/>
  <c r="E24" i="6" s="1"/>
  <c r="R4" i="7"/>
  <c r="B18" i="7" s="1"/>
  <c r="J18" i="7" s="1"/>
  <c r="R18" i="7" s="1"/>
  <c r="O4" i="7"/>
  <c r="W4" i="7" s="1"/>
  <c r="G18" i="7" s="1"/>
  <c r="O18" i="7" s="1"/>
  <c r="W18" i="7" s="1"/>
  <c r="G24" i="6" s="1"/>
  <c r="N4" i="7"/>
  <c r="M4" i="7"/>
  <c r="L4" i="7"/>
  <c r="T4" i="7" s="1"/>
  <c r="D18" i="7" s="1"/>
  <c r="L18" i="7" s="1"/>
  <c r="T18" i="7" s="1"/>
  <c r="K4" i="7"/>
  <c r="S4" i="7" s="1"/>
  <c r="C18" i="7" s="1"/>
  <c r="K18" i="7" s="1"/>
  <c r="J4" i="7"/>
  <c r="B4" i="7"/>
  <c r="Q42" i="6"/>
  <c r="P42" i="6"/>
  <c r="O42" i="6"/>
  <c r="N42" i="6"/>
  <c r="M42" i="6"/>
  <c r="L42" i="6"/>
  <c r="G33" i="6"/>
  <c r="F33" i="6"/>
  <c r="E33" i="6"/>
  <c r="D33" i="6"/>
  <c r="C33" i="6"/>
  <c r="B33" i="6"/>
  <c r="G25" i="6"/>
  <c r="F25" i="6"/>
  <c r="P24" i="6" s="1"/>
  <c r="E25" i="6"/>
  <c r="D25" i="6"/>
  <c r="C25" i="6"/>
  <c r="C26" i="6" s="1"/>
  <c r="C34" i="6" s="1"/>
  <c r="B25" i="6"/>
  <c r="H25" i="6" s="1"/>
  <c r="Q24" i="6"/>
  <c r="O24" i="6"/>
  <c r="N24" i="6"/>
  <c r="M24" i="6"/>
  <c r="F24" i="6"/>
  <c r="F26" i="6" s="1"/>
  <c r="F34" i="6" s="1"/>
  <c r="D24" i="6"/>
  <c r="C24" i="6"/>
  <c r="M23" i="6" s="1"/>
  <c r="M25" i="6" s="1"/>
  <c r="B24" i="6"/>
  <c r="B26" i="6" s="1"/>
  <c r="P23" i="6"/>
  <c r="N23" i="6"/>
  <c r="N25" i="6" s="1"/>
  <c r="L23" i="6"/>
  <c r="H11" i="6"/>
  <c r="E11" i="6"/>
  <c r="C11" i="6"/>
  <c r="M7" i="13" s="1"/>
  <c r="B11" i="6"/>
  <c r="J7" i="13" s="1"/>
  <c r="Q10" i="6"/>
  <c r="H10" i="6"/>
  <c r="E10" i="6"/>
  <c r="D10" i="6"/>
  <c r="P6" i="13" s="1"/>
  <c r="C10" i="6"/>
  <c r="M6" i="13" s="1"/>
  <c r="B10" i="6"/>
  <c r="J6" i="13" s="1"/>
  <c r="H9" i="6"/>
  <c r="E9" i="6"/>
  <c r="C9" i="6"/>
  <c r="M5" i="13" s="1"/>
  <c r="B9" i="6"/>
  <c r="J5" i="13" s="1"/>
  <c r="H8" i="6"/>
  <c r="E8" i="6"/>
  <c r="D8" i="6"/>
  <c r="P4" i="13" s="1"/>
  <c r="C8" i="6"/>
  <c r="M4" i="13" s="1"/>
  <c r="B8" i="6"/>
  <c r="J4" i="13" s="1"/>
  <c r="Q7" i="6"/>
  <c r="H7" i="6"/>
  <c r="E7" i="6"/>
  <c r="C7" i="6"/>
  <c r="M3" i="13" s="1"/>
  <c r="B7" i="6"/>
  <c r="J3" i="13" s="1"/>
  <c r="H6" i="6"/>
  <c r="E6" i="6"/>
  <c r="E12" i="6" s="1"/>
  <c r="D6" i="6"/>
  <c r="P2" i="13" s="1"/>
  <c r="C6" i="6"/>
  <c r="M2" i="13" s="1"/>
  <c r="M8" i="13" s="1"/>
  <c r="B6" i="6"/>
  <c r="J2" i="13" s="1"/>
  <c r="Q42" i="5"/>
  <c r="P42" i="5"/>
  <c r="O42" i="5"/>
  <c r="N42" i="5"/>
  <c r="M42" i="5"/>
  <c r="L42" i="5"/>
  <c r="G33" i="5"/>
  <c r="F33" i="5"/>
  <c r="E33" i="5"/>
  <c r="D33" i="5"/>
  <c r="C33" i="5"/>
  <c r="B33" i="5"/>
  <c r="G25" i="5"/>
  <c r="F25" i="5"/>
  <c r="F26" i="5" s="1"/>
  <c r="F34" i="5" s="1"/>
  <c r="E25" i="5"/>
  <c r="D25" i="5"/>
  <c r="D26" i="5" s="1"/>
  <c r="D34" i="5" s="1"/>
  <c r="C25" i="5"/>
  <c r="B25" i="5"/>
  <c r="B26" i="5" s="1"/>
  <c r="Q24" i="5"/>
  <c r="P24" i="5"/>
  <c r="P25" i="5" s="1"/>
  <c r="O24" i="5"/>
  <c r="N24" i="5"/>
  <c r="N25" i="5" s="1"/>
  <c r="M24" i="5"/>
  <c r="L24" i="5"/>
  <c r="L25" i="5" s="1"/>
  <c r="G24" i="5"/>
  <c r="F24" i="5"/>
  <c r="E24" i="5"/>
  <c r="D24" i="5"/>
  <c r="C24" i="5"/>
  <c r="B24" i="5"/>
  <c r="H24" i="5" s="1"/>
  <c r="Q23" i="5"/>
  <c r="Q25" i="5" s="1"/>
  <c r="P23" i="5"/>
  <c r="O23" i="5"/>
  <c r="O25" i="5" s="1"/>
  <c r="N23" i="5"/>
  <c r="M23" i="5"/>
  <c r="M25" i="5" s="1"/>
  <c r="L23" i="5"/>
  <c r="H11" i="5"/>
  <c r="E11" i="5"/>
  <c r="C11" i="5"/>
  <c r="M7" i="12" s="1"/>
  <c r="B11" i="5"/>
  <c r="J7" i="12" s="1"/>
  <c r="Q10" i="5"/>
  <c r="H10" i="5"/>
  <c r="E10" i="5"/>
  <c r="C10" i="5"/>
  <c r="M6" i="12" s="1"/>
  <c r="B10" i="5"/>
  <c r="J6" i="12" s="1"/>
  <c r="H9" i="5"/>
  <c r="E9" i="5"/>
  <c r="C9" i="5"/>
  <c r="M5" i="12" s="1"/>
  <c r="B9" i="5"/>
  <c r="J5" i="12" s="1"/>
  <c r="H8" i="5"/>
  <c r="E8" i="5"/>
  <c r="C8" i="5"/>
  <c r="M4" i="12" s="1"/>
  <c r="B8" i="5"/>
  <c r="J4" i="12" s="1"/>
  <c r="Q7" i="5"/>
  <c r="H7" i="5"/>
  <c r="E7" i="5"/>
  <c r="C7" i="5"/>
  <c r="M3" i="12" s="1"/>
  <c r="B7" i="5"/>
  <c r="J3" i="12" s="1"/>
  <c r="H6" i="5"/>
  <c r="E6" i="5"/>
  <c r="E12" i="5" s="1"/>
  <c r="C6" i="5"/>
  <c r="M2" i="12" s="1"/>
  <c r="M8" i="12" s="1"/>
  <c r="B6" i="5"/>
  <c r="J2" i="12" s="1"/>
  <c r="J8" i="12" s="1"/>
  <c r="Q42" i="4"/>
  <c r="P42" i="4"/>
  <c r="O42" i="4"/>
  <c r="N42" i="4"/>
  <c r="M42" i="4"/>
  <c r="L42" i="4"/>
  <c r="G33" i="4"/>
  <c r="F33" i="4"/>
  <c r="E33" i="4"/>
  <c r="D33" i="4"/>
  <c r="C33" i="4"/>
  <c r="B33" i="4"/>
  <c r="L27" i="4" s="1"/>
  <c r="Q27" i="4"/>
  <c r="M27" i="4"/>
  <c r="G27" i="4"/>
  <c r="F27" i="4"/>
  <c r="C27" i="4"/>
  <c r="B27" i="4"/>
  <c r="G25" i="4"/>
  <c r="G26" i="4" s="1"/>
  <c r="G34" i="4" s="1"/>
  <c r="F25" i="4"/>
  <c r="P24" i="4" s="1"/>
  <c r="E25" i="4"/>
  <c r="E26" i="4" s="1"/>
  <c r="E34" i="4" s="1"/>
  <c r="D25" i="4"/>
  <c r="C25" i="4"/>
  <c r="C26" i="4" s="1"/>
  <c r="C34" i="4" s="1"/>
  <c r="B25" i="4"/>
  <c r="Q24" i="4"/>
  <c r="Q25" i="4" s="1"/>
  <c r="N24" i="4"/>
  <c r="G24" i="4"/>
  <c r="Q23" i="4" s="1"/>
  <c r="F24" i="4"/>
  <c r="P23" i="4" s="1"/>
  <c r="P25" i="4" s="1"/>
  <c r="E24" i="4"/>
  <c r="D24" i="4"/>
  <c r="N23" i="4" s="1"/>
  <c r="N25" i="4" s="1"/>
  <c r="C24" i="4"/>
  <c r="M23" i="4" s="1"/>
  <c r="B24" i="4"/>
  <c r="O23" i="4"/>
  <c r="L23" i="4"/>
  <c r="H11" i="4"/>
  <c r="E11" i="4"/>
  <c r="D11" i="4"/>
  <c r="P7" i="10" s="1"/>
  <c r="C11" i="4"/>
  <c r="M7" i="10" s="1"/>
  <c r="B11" i="4"/>
  <c r="J7" i="10" s="1"/>
  <c r="Q10" i="4"/>
  <c r="H10" i="4"/>
  <c r="E10" i="4"/>
  <c r="D10" i="4"/>
  <c r="P6" i="10" s="1"/>
  <c r="C10" i="4"/>
  <c r="M6" i="10" s="1"/>
  <c r="B10" i="4"/>
  <c r="J6" i="10" s="1"/>
  <c r="H9" i="4"/>
  <c r="E9" i="4"/>
  <c r="D9" i="4"/>
  <c r="P5" i="10" s="1"/>
  <c r="C9" i="4"/>
  <c r="M5" i="10" s="1"/>
  <c r="B9" i="4"/>
  <c r="J5" i="10" s="1"/>
  <c r="H8" i="4"/>
  <c r="E8" i="4"/>
  <c r="C8" i="4"/>
  <c r="M4" i="10" s="1"/>
  <c r="B8" i="4"/>
  <c r="J4" i="10" s="1"/>
  <c r="Q7" i="4"/>
  <c r="H7" i="4"/>
  <c r="E7" i="4"/>
  <c r="C7" i="4"/>
  <c r="M3" i="10" s="1"/>
  <c r="B7" i="4"/>
  <c r="J3" i="10" s="1"/>
  <c r="H6" i="4"/>
  <c r="E6" i="4"/>
  <c r="E12" i="4" s="1"/>
  <c r="C6" i="4"/>
  <c r="M2" i="10" s="1"/>
  <c r="M8" i="10" s="1"/>
  <c r="B6" i="4"/>
  <c r="J2" i="10" s="1"/>
  <c r="Q42" i="3"/>
  <c r="P42" i="3"/>
  <c r="O42" i="3"/>
  <c r="N42" i="3"/>
  <c r="M42" i="3"/>
  <c r="L42" i="3"/>
  <c r="G33" i="3"/>
  <c r="F33" i="3"/>
  <c r="E33" i="3"/>
  <c r="D33" i="3"/>
  <c r="C33" i="3"/>
  <c r="B33" i="3"/>
  <c r="G25" i="3"/>
  <c r="G26" i="3" s="1"/>
  <c r="G34" i="3" s="1"/>
  <c r="F25" i="3"/>
  <c r="E25" i="3"/>
  <c r="E26" i="3" s="1"/>
  <c r="E34" i="3" s="1"/>
  <c r="D25" i="3"/>
  <c r="C25" i="3"/>
  <c r="C26" i="3" s="1"/>
  <c r="C34" i="3" s="1"/>
  <c r="B25" i="3"/>
  <c r="H25" i="3" s="1"/>
  <c r="Q24" i="3"/>
  <c r="Q25" i="3" s="1"/>
  <c r="P24" i="3"/>
  <c r="N24" i="3"/>
  <c r="M24" i="3"/>
  <c r="M25" i="3" s="1"/>
  <c r="L24" i="3"/>
  <c r="G24" i="3"/>
  <c r="F24" i="3"/>
  <c r="P23" i="3" s="1"/>
  <c r="P25" i="3" s="1"/>
  <c r="E24" i="3"/>
  <c r="D24" i="3"/>
  <c r="C24" i="3"/>
  <c r="B24" i="3"/>
  <c r="H24" i="3" s="1"/>
  <c r="Q23" i="3"/>
  <c r="O23" i="3"/>
  <c r="N23" i="3"/>
  <c r="N25" i="3" s="1"/>
  <c r="M23" i="3"/>
  <c r="H11" i="3"/>
  <c r="E11" i="3"/>
  <c r="D11" i="3"/>
  <c r="P7" i="11" s="1"/>
  <c r="C11" i="3"/>
  <c r="M7" i="11" s="1"/>
  <c r="B11" i="3"/>
  <c r="J7" i="11" s="1"/>
  <c r="Q10" i="3"/>
  <c r="H10" i="3"/>
  <c r="E10" i="3"/>
  <c r="C10" i="3"/>
  <c r="M6" i="11" s="1"/>
  <c r="B10" i="3"/>
  <c r="J6" i="11" s="1"/>
  <c r="H9" i="3"/>
  <c r="E9" i="3"/>
  <c r="D9" i="3"/>
  <c r="P5" i="11" s="1"/>
  <c r="C9" i="3"/>
  <c r="M5" i="11" s="1"/>
  <c r="B9" i="3"/>
  <c r="J5" i="11" s="1"/>
  <c r="H8" i="3"/>
  <c r="E8" i="3"/>
  <c r="C8" i="3"/>
  <c r="M4" i="11" s="1"/>
  <c r="B8" i="3"/>
  <c r="J4" i="11" s="1"/>
  <c r="Q7" i="3"/>
  <c r="H7" i="3"/>
  <c r="E7" i="3"/>
  <c r="D7" i="3"/>
  <c r="P3" i="11" s="1"/>
  <c r="C7" i="3"/>
  <c r="M3" i="11" s="1"/>
  <c r="B7" i="3"/>
  <c r="J3" i="11" s="1"/>
  <c r="H6" i="3"/>
  <c r="E6" i="3"/>
  <c r="E12" i="3" s="1"/>
  <c r="C6" i="3"/>
  <c r="M2" i="11" s="1"/>
  <c r="M8" i="11" s="1"/>
  <c r="B6" i="3"/>
  <c r="J2" i="11" s="1"/>
  <c r="J8" i="11" s="1"/>
  <c r="Q42" i="2"/>
  <c r="P42" i="2"/>
  <c r="O42" i="2"/>
  <c r="N42" i="2"/>
  <c r="M42" i="2"/>
  <c r="L42" i="2"/>
  <c r="G33" i="2"/>
  <c r="Q27" i="2" s="1"/>
  <c r="F33" i="2"/>
  <c r="E33" i="2"/>
  <c r="O27" i="2" s="1"/>
  <c r="D33" i="2"/>
  <c r="C33" i="2"/>
  <c r="M27" i="2" s="1"/>
  <c r="B33" i="2"/>
  <c r="P27" i="2"/>
  <c r="N27" i="2"/>
  <c r="L27" i="2"/>
  <c r="G27" i="2"/>
  <c r="F27" i="2"/>
  <c r="E27" i="2"/>
  <c r="D27" i="2"/>
  <c r="C27" i="2"/>
  <c r="B27" i="2"/>
  <c r="H27" i="2" s="1"/>
  <c r="F26" i="2"/>
  <c r="F34" i="2" s="1"/>
  <c r="B26" i="2"/>
  <c r="B34" i="2" s="1"/>
  <c r="G25" i="2"/>
  <c r="F25" i="2"/>
  <c r="E25" i="2"/>
  <c r="D25" i="2"/>
  <c r="D26" i="2" s="1"/>
  <c r="D34" i="2" s="1"/>
  <c r="C25" i="2"/>
  <c r="B25" i="2"/>
  <c r="I25" i="2" s="1"/>
  <c r="Q24" i="2"/>
  <c r="P24" i="2"/>
  <c r="P25" i="2" s="1"/>
  <c r="O24" i="2"/>
  <c r="M24" i="2"/>
  <c r="L24" i="2"/>
  <c r="L25" i="2" s="1"/>
  <c r="G24" i="2"/>
  <c r="G30" i="2" s="1"/>
  <c r="F24" i="2"/>
  <c r="E24" i="2"/>
  <c r="O23" i="2" s="1"/>
  <c r="O25" i="2" s="1"/>
  <c r="D24" i="2"/>
  <c r="C24" i="2"/>
  <c r="C30" i="2" s="1"/>
  <c r="B24" i="2"/>
  <c r="H24" i="2" s="1"/>
  <c r="Q23" i="2"/>
  <c r="Q25" i="2" s="1"/>
  <c r="P23" i="2"/>
  <c r="N23" i="2"/>
  <c r="M23" i="2"/>
  <c r="M25" i="2" s="1"/>
  <c r="L23" i="2"/>
  <c r="H11" i="2"/>
  <c r="E11" i="2"/>
  <c r="C11" i="2"/>
  <c r="M7" i="9" s="1"/>
  <c r="B11" i="2"/>
  <c r="J7" i="9" s="1"/>
  <c r="Q10" i="2"/>
  <c r="H10" i="2"/>
  <c r="E10" i="2"/>
  <c r="C10" i="2"/>
  <c r="M6" i="9" s="1"/>
  <c r="B10" i="2"/>
  <c r="J6" i="9" s="1"/>
  <c r="H9" i="2"/>
  <c r="E9" i="2"/>
  <c r="C9" i="2"/>
  <c r="M5" i="9" s="1"/>
  <c r="B9" i="2"/>
  <c r="J5" i="9" s="1"/>
  <c r="H8" i="2"/>
  <c r="E8" i="2"/>
  <c r="C8" i="2"/>
  <c r="M4" i="9" s="1"/>
  <c r="B8" i="2"/>
  <c r="J4" i="9" s="1"/>
  <c r="Q7" i="2"/>
  <c r="H7" i="2"/>
  <c r="E7" i="2"/>
  <c r="C7" i="2"/>
  <c r="M3" i="9" s="1"/>
  <c r="B7" i="2"/>
  <c r="J3" i="9" s="1"/>
  <c r="H6" i="2"/>
  <c r="E6" i="2"/>
  <c r="E12" i="2" s="1"/>
  <c r="C6" i="2"/>
  <c r="M2" i="9" s="1"/>
  <c r="B6" i="2"/>
  <c r="J2" i="9" s="1"/>
  <c r="J8" i="9" s="1"/>
  <c r="P33" i="1"/>
  <c r="M33" i="1"/>
  <c r="G33" i="1"/>
  <c r="F33" i="1"/>
  <c r="E33" i="1"/>
  <c r="D33" i="1"/>
  <c r="C33" i="1"/>
  <c r="B33" i="1"/>
  <c r="D30" i="1"/>
  <c r="P27" i="1"/>
  <c r="N27" i="1"/>
  <c r="L27" i="1"/>
  <c r="G27" i="1"/>
  <c r="F27" i="1"/>
  <c r="E27" i="1"/>
  <c r="D27" i="1"/>
  <c r="C27" i="1"/>
  <c r="B27" i="1"/>
  <c r="G26" i="1"/>
  <c r="G34" i="1" s="1"/>
  <c r="F26" i="1"/>
  <c r="F34" i="1" s="1"/>
  <c r="E26" i="1"/>
  <c r="E34" i="1" s="1"/>
  <c r="D26" i="1"/>
  <c r="D34" i="1" s="1"/>
  <c r="C26" i="1"/>
  <c r="C34" i="1" s="1"/>
  <c r="O25" i="1"/>
  <c r="I25" i="1"/>
  <c r="G25" i="1"/>
  <c r="F25" i="1"/>
  <c r="E25" i="1"/>
  <c r="D25" i="1"/>
  <c r="C25" i="1"/>
  <c r="B25" i="1"/>
  <c r="H25" i="1" s="1"/>
  <c r="Q24" i="1"/>
  <c r="Q25" i="1" s="1"/>
  <c r="P24" i="1"/>
  <c r="O24" i="1"/>
  <c r="N24" i="1"/>
  <c r="M24" i="1"/>
  <c r="M25" i="1" s="1"/>
  <c r="L24" i="1"/>
  <c r="G24" i="1"/>
  <c r="G30" i="1" s="1"/>
  <c r="F24" i="1"/>
  <c r="F30" i="1" s="1"/>
  <c r="E24" i="1"/>
  <c r="E30" i="1" s="1"/>
  <c r="D24" i="1"/>
  <c r="C24" i="1"/>
  <c r="C30" i="1" s="1"/>
  <c r="B24" i="1"/>
  <c r="B26" i="1" s="1"/>
  <c r="Q23" i="1"/>
  <c r="P23" i="1"/>
  <c r="P25" i="1" s="1"/>
  <c r="O23" i="1"/>
  <c r="N23" i="1"/>
  <c r="N25" i="1" s="1"/>
  <c r="M23" i="1"/>
  <c r="L23" i="1"/>
  <c r="L25" i="1" s="1"/>
  <c r="G3" i="16" s="1"/>
  <c r="H5" i="16" s="1"/>
  <c r="H11" i="1"/>
  <c r="E11" i="1"/>
  <c r="D11" i="1"/>
  <c r="P7" i="8" s="1"/>
  <c r="C11" i="1"/>
  <c r="M7" i="8" s="1"/>
  <c r="B11" i="1"/>
  <c r="J7" i="8" s="1"/>
  <c r="Q10" i="1"/>
  <c r="H10" i="1"/>
  <c r="E10" i="1"/>
  <c r="D10" i="1"/>
  <c r="P6" i="8" s="1"/>
  <c r="C10" i="1"/>
  <c r="M6" i="8" s="1"/>
  <c r="B10" i="1"/>
  <c r="J6" i="8" s="1"/>
  <c r="H9" i="1"/>
  <c r="E9" i="1"/>
  <c r="C9" i="1"/>
  <c r="M5" i="8" s="1"/>
  <c r="B9" i="1"/>
  <c r="J5" i="8" s="1"/>
  <c r="H8" i="1"/>
  <c r="E8" i="1"/>
  <c r="C8" i="1"/>
  <c r="M4" i="8" s="1"/>
  <c r="B8" i="1"/>
  <c r="J4" i="8" s="1"/>
  <c r="Q7" i="1"/>
  <c r="H7" i="1"/>
  <c r="E7" i="1"/>
  <c r="D7" i="1"/>
  <c r="P3" i="8" s="1"/>
  <c r="C7" i="1"/>
  <c r="M3" i="8" s="1"/>
  <c r="B7" i="1"/>
  <c r="J3" i="8" s="1"/>
  <c r="H6" i="1"/>
  <c r="E6" i="1"/>
  <c r="C6" i="1"/>
  <c r="B6" i="1"/>
  <c r="J2" i="8" s="1"/>
  <c r="J8" i="8" s="1"/>
  <c r="F31" i="1" l="1"/>
  <c r="B31" i="1"/>
  <c r="E31" i="1"/>
  <c r="G31" i="1"/>
  <c r="C31" i="1"/>
  <c r="D31" i="1"/>
  <c r="E19" i="2"/>
  <c r="E18" i="2"/>
  <c r="E17" i="2"/>
  <c r="E16" i="2"/>
  <c r="E15" i="2"/>
  <c r="E14" i="2"/>
  <c r="M2" i="8"/>
  <c r="M8" i="8" s="1"/>
  <c r="C12" i="1"/>
  <c r="H7" i="16"/>
  <c r="H6" i="16"/>
  <c r="H8" i="16" s="1"/>
  <c r="H24" i="1"/>
  <c r="O27" i="1"/>
  <c r="L6" i="2"/>
  <c r="L7" i="2"/>
  <c r="D30" i="2"/>
  <c r="F30" i="2"/>
  <c r="B30" i="2"/>
  <c r="E31" i="3"/>
  <c r="D31" i="3"/>
  <c r="G31" i="3"/>
  <c r="C31" i="3"/>
  <c r="F31" i="3"/>
  <c r="B31" i="3"/>
  <c r="D6" i="1"/>
  <c r="D8" i="1"/>
  <c r="P4" i="8" s="1"/>
  <c r="D9" i="1"/>
  <c r="P5" i="8" s="1"/>
  <c r="L8" i="2"/>
  <c r="L10" i="2"/>
  <c r="E30" i="3"/>
  <c r="G30" i="3"/>
  <c r="C30" i="3"/>
  <c r="B12" i="1"/>
  <c r="D2" i="1" s="1"/>
  <c r="E12" i="1"/>
  <c r="B17" i="1"/>
  <c r="B19" i="1"/>
  <c r="I11" i="1" s="1"/>
  <c r="B34" i="1"/>
  <c r="H26" i="1"/>
  <c r="H27" i="1"/>
  <c r="B30" i="1"/>
  <c r="M27" i="1"/>
  <c r="Q27" i="1"/>
  <c r="E19" i="3"/>
  <c r="L11" i="3" s="1"/>
  <c r="E18" i="3"/>
  <c r="E17" i="3"/>
  <c r="E16" i="3"/>
  <c r="E15" i="3"/>
  <c r="L7" i="3" s="1"/>
  <c r="E14" i="3"/>
  <c r="L9" i="3"/>
  <c r="I9" i="1"/>
  <c r="D30" i="3"/>
  <c r="D6" i="2"/>
  <c r="D8" i="2"/>
  <c r="P4" i="9" s="1"/>
  <c r="L9" i="2"/>
  <c r="D10" i="2"/>
  <c r="P6" i="9" s="1"/>
  <c r="L11" i="2"/>
  <c r="E26" i="2"/>
  <c r="E34" i="2" s="1"/>
  <c r="E30" i="2"/>
  <c r="B26" i="3"/>
  <c r="F26" i="3"/>
  <c r="F34" i="3" s="1"/>
  <c r="B30" i="3"/>
  <c r="F30" i="3"/>
  <c r="D6" i="4"/>
  <c r="M24" i="4"/>
  <c r="M25" i="4" s="1"/>
  <c r="H25" i="4"/>
  <c r="E30" i="5"/>
  <c r="H25" i="2"/>
  <c r="L6" i="3"/>
  <c r="L8" i="3"/>
  <c r="L10" i="3"/>
  <c r="B12" i="3"/>
  <c r="D2" i="3" s="1"/>
  <c r="I25" i="3"/>
  <c r="E19" i="4"/>
  <c r="L11" i="4" s="1"/>
  <c r="E18" i="4"/>
  <c r="L10" i="4" s="1"/>
  <c r="E17" i="4"/>
  <c r="L9" i="4" s="1"/>
  <c r="E16" i="4"/>
  <c r="E15" i="4"/>
  <c r="E14" i="4"/>
  <c r="L6" i="4" s="1"/>
  <c r="B26" i="4"/>
  <c r="F26" i="4"/>
  <c r="F34" i="4" s="1"/>
  <c r="P27" i="4"/>
  <c r="F30" i="5"/>
  <c r="B30" i="5"/>
  <c r="D30" i="5"/>
  <c r="B34" i="5"/>
  <c r="E26" i="6"/>
  <c r="E34" i="6" s="1"/>
  <c r="O23" i="6"/>
  <c r="O25" i="6" s="1"/>
  <c r="D7" i="2"/>
  <c r="P3" i="9" s="1"/>
  <c r="D9" i="2"/>
  <c r="P5" i="9" s="1"/>
  <c r="D11" i="2"/>
  <c r="P7" i="9" s="1"/>
  <c r="B12" i="2"/>
  <c r="D2" i="2" s="1"/>
  <c r="C26" i="2"/>
  <c r="C34" i="2" s="1"/>
  <c r="I34" i="2" s="1"/>
  <c r="G26" i="2"/>
  <c r="G34" i="2" s="1"/>
  <c r="C12" i="3"/>
  <c r="D26" i="3"/>
  <c r="D34" i="3" s="1"/>
  <c r="J8" i="10"/>
  <c r="B12" i="4"/>
  <c r="B16" i="4" s="1"/>
  <c r="I8" i="4" s="1"/>
  <c r="O24" i="4"/>
  <c r="O25" i="4" s="1"/>
  <c r="I25" i="4"/>
  <c r="C30" i="5"/>
  <c r="G30" i="5"/>
  <c r="E19" i="6"/>
  <c r="E18" i="6"/>
  <c r="E17" i="6"/>
  <c r="E16" i="6"/>
  <c r="L8" i="6" s="1"/>
  <c r="E15" i="6"/>
  <c r="E14" i="6"/>
  <c r="L10" i="6"/>
  <c r="P25" i="6"/>
  <c r="M8" i="9"/>
  <c r="C12" i="2"/>
  <c r="N24" i="2"/>
  <c r="N25" i="2" s="1"/>
  <c r="H26" i="2"/>
  <c r="D6" i="3"/>
  <c r="D8" i="3"/>
  <c r="P4" i="11" s="1"/>
  <c r="D10" i="3"/>
  <c r="P6" i="11" s="1"/>
  <c r="B14" i="3"/>
  <c r="I6" i="3" s="1"/>
  <c r="B15" i="3"/>
  <c r="I7" i="3" s="1"/>
  <c r="B16" i="3"/>
  <c r="I8" i="3" s="1"/>
  <c r="B17" i="3"/>
  <c r="I9" i="3" s="1"/>
  <c r="B18" i="3"/>
  <c r="I10" i="3" s="1"/>
  <c r="B19" i="3"/>
  <c r="I11" i="3" s="1"/>
  <c r="L23" i="3"/>
  <c r="L25" i="3" s="1"/>
  <c r="O24" i="3"/>
  <c r="O25" i="3" s="1"/>
  <c r="D7" i="4"/>
  <c r="P3" i="10" s="1"/>
  <c r="L7" i="4"/>
  <c r="D8" i="4"/>
  <c r="P4" i="10" s="1"/>
  <c r="L8" i="4"/>
  <c r="I11" i="4"/>
  <c r="B15" i="4"/>
  <c r="I7" i="4" s="1"/>
  <c r="B19" i="4"/>
  <c r="D30" i="4"/>
  <c r="D26" i="4"/>
  <c r="D34" i="4" s="1"/>
  <c r="H24" i="4"/>
  <c r="E19" i="5"/>
  <c r="L11" i="5" s="1"/>
  <c r="E18" i="5"/>
  <c r="L10" i="5" s="1"/>
  <c r="E17" i="5"/>
  <c r="L9" i="5" s="1"/>
  <c r="E16" i="5"/>
  <c r="L8" i="5" s="1"/>
  <c r="E15" i="5"/>
  <c r="L7" i="5" s="1"/>
  <c r="E14" i="5"/>
  <c r="L6" i="5" s="1"/>
  <c r="L6" i="6"/>
  <c r="B34" i="6"/>
  <c r="F31" i="6"/>
  <c r="B31" i="6"/>
  <c r="E31" i="6"/>
  <c r="D31" i="6"/>
  <c r="C31" i="6"/>
  <c r="G31" i="6"/>
  <c r="G26" i="6"/>
  <c r="G34" i="6" s="1"/>
  <c r="Q23" i="6"/>
  <c r="Q25" i="6" s="1"/>
  <c r="L24" i="4"/>
  <c r="L25" i="4" s="1"/>
  <c r="D7" i="5"/>
  <c r="P3" i="12" s="1"/>
  <c r="D9" i="5"/>
  <c r="P5" i="12" s="1"/>
  <c r="D11" i="5"/>
  <c r="P7" i="12" s="1"/>
  <c r="B12" i="5"/>
  <c r="D2" i="5" s="1"/>
  <c r="I25" i="5"/>
  <c r="C26" i="5"/>
  <c r="C34" i="5" s="1"/>
  <c r="G26" i="5"/>
  <c r="G34" i="5" s="1"/>
  <c r="C12" i="6"/>
  <c r="D26" i="6"/>
  <c r="D34" i="6" s="1"/>
  <c r="D21" i="15"/>
  <c r="D22" i="15" s="1"/>
  <c r="F17" i="14"/>
  <c r="K23" i="7"/>
  <c r="T5" i="15"/>
  <c r="T6" i="15" s="1"/>
  <c r="T4" i="14"/>
  <c r="C26" i="7"/>
  <c r="X5" i="15"/>
  <c r="X6" i="15" s="1"/>
  <c r="X4" i="14"/>
  <c r="G26" i="7"/>
  <c r="C12" i="5"/>
  <c r="L7" i="6"/>
  <c r="L9" i="6"/>
  <c r="L11" i="6"/>
  <c r="H24" i="6"/>
  <c r="D30" i="6" s="1"/>
  <c r="V7" i="15"/>
  <c r="V8" i="15" s="1"/>
  <c r="V11" i="15" s="1"/>
  <c r="V5" i="14"/>
  <c r="E23" i="7"/>
  <c r="G17" i="14"/>
  <c r="E21" i="15"/>
  <c r="E22" i="15" s="1"/>
  <c r="L23" i="7"/>
  <c r="U9" i="15"/>
  <c r="U10" i="15" s="1"/>
  <c r="U6" i="14"/>
  <c r="D24" i="7"/>
  <c r="D23" i="15"/>
  <c r="D24" i="15" s="1"/>
  <c r="F18" i="14"/>
  <c r="K24" i="7"/>
  <c r="C12" i="4"/>
  <c r="D6" i="5"/>
  <c r="D8" i="5"/>
  <c r="P4" i="12" s="1"/>
  <c r="D10" i="5"/>
  <c r="P6" i="12" s="1"/>
  <c r="B14" i="5"/>
  <c r="I6" i="5" s="1"/>
  <c r="B15" i="5"/>
  <c r="I7" i="5" s="1"/>
  <c r="B16" i="5"/>
  <c r="I8" i="5" s="1"/>
  <c r="B17" i="5"/>
  <c r="I9" i="5" s="1"/>
  <c r="B18" i="5"/>
  <c r="I10" i="5" s="1"/>
  <c r="B19" i="5"/>
  <c r="I11" i="5" s="1"/>
  <c r="E26" i="5"/>
  <c r="E34" i="5" s="1"/>
  <c r="L24" i="6"/>
  <c r="L25" i="6" s="1"/>
  <c r="W5" i="14"/>
  <c r="W7" i="15"/>
  <c r="W8" i="15" s="1"/>
  <c r="F23" i="7"/>
  <c r="H21" i="15"/>
  <c r="H22" i="15" s="1"/>
  <c r="H25" i="15" s="1"/>
  <c r="J17" i="14"/>
  <c r="O23" i="7"/>
  <c r="V9" i="15"/>
  <c r="V10" i="15" s="1"/>
  <c r="V6" i="14"/>
  <c r="E24" i="7"/>
  <c r="I18" i="14"/>
  <c r="G23" i="15"/>
  <c r="G24" i="15" s="1"/>
  <c r="N24" i="7"/>
  <c r="T3" i="15"/>
  <c r="T4" i="15" s="1"/>
  <c r="T3" i="14"/>
  <c r="C25" i="7"/>
  <c r="X3" i="15"/>
  <c r="X4" i="15" s="1"/>
  <c r="X3" i="14"/>
  <c r="G25" i="7"/>
  <c r="F19" i="15"/>
  <c r="F20" i="15" s="1"/>
  <c r="H16" i="14"/>
  <c r="M26" i="7"/>
  <c r="H25" i="5"/>
  <c r="J8" i="13"/>
  <c r="D7" i="6"/>
  <c r="P3" i="13" s="1"/>
  <c r="P8" i="13" s="1"/>
  <c r="D9" i="6"/>
  <c r="P5" i="13" s="1"/>
  <c r="D11" i="6"/>
  <c r="P7" i="13" s="1"/>
  <c r="B12" i="6"/>
  <c r="D2" i="6" s="1"/>
  <c r="B30" i="6"/>
  <c r="F30" i="6"/>
  <c r="I25" i="6"/>
  <c r="K9" i="15"/>
  <c r="K10" i="15" s="1"/>
  <c r="L6" i="14"/>
  <c r="R10" i="7"/>
  <c r="H23" i="15"/>
  <c r="H24" i="15" s="1"/>
  <c r="J18" i="14"/>
  <c r="O24" i="7"/>
  <c r="U3" i="15"/>
  <c r="U4" i="15" s="1"/>
  <c r="U3" i="14"/>
  <c r="D25" i="7"/>
  <c r="S5" i="15"/>
  <c r="S6" i="15" s="1"/>
  <c r="S4" i="14"/>
  <c r="B26" i="7"/>
  <c r="W5" i="15"/>
  <c r="W6" i="15" s="1"/>
  <c r="W4" i="14"/>
  <c r="F26" i="7"/>
  <c r="T7" i="7"/>
  <c r="L7" i="15"/>
  <c r="L8" i="15" s="1"/>
  <c r="M5" i="14"/>
  <c r="P7" i="15"/>
  <c r="P8" i="15" s="1"/>
  <c r="Q5" i="14"/>
  <c r="P6" i="14"/>
  <c r="O9" i="15"/>
  <c r="O10" i="15" s="1"/>
  <c r="C3" i="15"/>
  <c r="C4" i="15" s="1"/>
  <c r="E3" i="14"/>
  <c r="N3" i="15"/>
  <c r="N4" i="15" s="1"/>
  <c r="O3" i="14"/>
  <c r="M5" i="15"/>
  <c r="M6" i="15" s="1"/>
  <c r="N4" i="14"/>
  <c r="C21" i="7"/>
  <c r="G21" i="7"/>
  <c r="U7" i="7"/>
  <c r="N5" i="14"/>
  <c r="M7" i="15"/>
  <c r="M8" i="15" s="1"/>
  <c r="L9" i="15"/>
  <c r="L10" i="15" s="1"/>
  <c r="M6" i="14"/>
  <c r="P9" i="15"/>
  <c r="P10" i="15" s="1"/>
  <c r="Q6" i="14"/>
  <c r="K3" i="15"/>
  <c r="K4" i="15" s="1"/>
  <c r="L3" i="14"/>
  <c r="O3" i="15"/>
  <c r="O4" i="15" s="1"/>
  <c r="P3" i="14"/>
  <c r="C5" i="15"/>
  <c r="C6" i="15" s="1"/>
  <c r="E4" i="14"/>
  <c r="N5" i="15"/>
  <c r="N6" i="15" s="1"/>
  <c r="O4" i="14"/>
  <c r="C7" i="15"/>
  <c r="C8" i="15" s="1"/>
  <c r="E5" i="14"/>
  <c r="N7" i="15"/>
  <c r="N8" i="15" s="1"/>
  <c r="O5" i="14"/>
  <c r="T7" i="15"/>
  <c r="T8" i="15" s="1"/>
  <c r="T5" i="14"/>
  <c r="X7" i="15"/>
  <c r="X8" i="15" s="1"/>
  <c r="X5" i="14"/>
  <c r="M9" i="15"/>
  <c r="M10" i="15" s="1"/>
  <c r="N6" i="14"/>
  <c r="W9" i="15"/>
  <c r="W10" i="15" s="1"/>
  <c r="W6" i="14"/>
  <c r="M3" i="14"/>
  <c r="M10" i="14" s="1"/>
  <c r="C12" i="9" s="1"/>
  <c r="L3" i="15"/>
  <c r="L4" i="15" s="1"/>
  <c r="P3" i="15"/>
  <c r="P4" i="15" s="1"/>
  <c r="Q3" i="14"/>
  <c r="V3" i="14"/>
  <c r="V3" i="15"/>
  <c r="V4" i="15" s="1"/>
  <c r="K5" i="15"/>
  <c r="K6" i="15" s="1"/>
  <c r="L4" i="14"/>
  <c r="P4" i="14"/>
  <c r="O5" i="15"/>
  <c r="O6" i="15" s="1"/>
  <c r="U5" i="15"/>
  <c r="U6" i="15" s="1"/>
  <c r="U4" i="14"/>
  <c r="E25" i="7"/>
  <c r="J9" i="7"/>
  <c r="O7" i="15"/>
  <c r="O8" i="15" s="1"/>
  <c r="O11" i="15" s="1"/>
  <c r="P5" i="14"/>
  <c r="U5" i="14"/>
  <c r="U7" i="15"/>
  <c r="U8" i="15" s="1"/>
  <c r="U11" i="15" s="1"/>
  <c r="C9" i="15"/>
  <c r="C10" i="15" s="1"/>
  <c r="E6" i="14"/>
  <c r="N9" i="15"/>
  <c r="N10" i="15" s="1"/>
  <c r="O6" i="14"/>
  <c r="T9" i="15"/>
  <c r="T10" i="15" s="1"/>
  <c r="T6" i="14"/>
  <c r="X9" i="15"/>
  <c r="X10" i="15" s="1"/>
  <c r="X6" i="14"/>
  <c r="M3" i="15"/>
  <c r="M4" i="15" s="1"/>
  <c r="N3" i="14"/>
  <c r="N10" i="14" s="1"/>
  <c r="D12" i="9" s="1"/>
  <c r="S3" i="15"/>
  <c r="S4" i="15" s="1"/>
  <c r="S3" i="14"/>
  <c r="W3" i="15"/>
  <c r="W4" i="15" s="1"/>
  <c r="W3" i="14"/>
  <c r="W10" i="14" s="1"/>
  <c r="F12" i="10" s="1"/>
  <c r="L5" i="15"/>
  <c r="L6" i="15" s="1"/>
  <c r="M4" i="14"/>
  <c r="P5" i="15"/>
  <c r="P6" i="15" s="1"/>
  <c r="Q4" i="14"/>
  <c r="V5" i="15"/>
  <c r="V6" i="15" s="1"/>
  <c r="V4" i="14"/>
  <c r="B21" i="7"/>
  <c r="F21" i="7"/>
  <c r="B25" i="7"/>
  <c r="F25" i="7"/>
  <c r="D26" i="7"/>
  <c r="E13" i="15"/>
  <c r="F11" i="15"/>
  <c r="F13" i="15" s="1"/>
  <c r="H11" i="15"/>
  <c r="H13" i="15" s="1"/>
  <c r="H19" i="16"/>
  <c r="G22" i="16" s="1"/>
  <c r="E4" i="8" l="1"/>
  <c r="Q9" i="5"/>
  <c r="Q9" i="6"/>
  <c r="Q9" i="4"/>
  <c r="Q9" i="1"/>
  <c r="Q9" i="2"/>
  <c r="O33" i="1"/>
  <c r="Q9" i="3"/>
  <c r="B35" i="2"/>
  <c r="D35" i="2"/>
  <c r="F35" i="2"/>
  <c r="G4" i="8"/>
  <c r="Q11" i="5"/>
  <c r="Q11" i="6"/>
  <c r="Q11" i="4"/>
  <c r="Q33" i="1"/>
  <c r="Q11" i="1"/>
  <c r="Q11" i="2"/>
  <c r="Q11" i="3"/>
  <c r="G23" i="16"/>
  <c r="K16" i="16" s="1"/>
  <c r="K10" i="16"/>
  <c r="K9" i="16"/>
  <c r="G16" i="14"/>
  <c r="E19" i="15"/>
  <c r="E20" i="15" s="1"/>
  <c r="L26" i="7"/>
  <c r="E20" i="14"/>
  <c r="J21" i="7"/>
  <c r="B27" i="3"/>
  <c r="X11" i="15"/>
  <c r="G17" i="15"/>
  <c r="G18" i="15" s="1"/>
  <c r="I15" i="14"/>
  <c r="N25" i="7"/>
  <c r="K7" i="15"/>
  <c r="K8" i="15" s="1"/>
  <c r="K11" i="15" s="1"/>
  <c r="L5" i="14"/>
  <c r="R9" i="7"/>
  <c r="V13" i="15"/>
  <c r="L10" i="14"/>
  <c r="B12" i="9" s="1"/>
  <c r="V8" i="14"/>
  <c r="E21" i="7"/>
  <c r="E27" i="4"/>
  <c r="O27" i="4" s="1"/>
  <c r="P11" i="15"/>
  <c r="C19" i="15"/>
  <c r="C20" i="15" s="1"/>
  <c r="E16" i="14"/>
  <c r="J26" i="7"/>
  <c r="F31" i="5"/>
  <c r="B31" i="5"/>
  <c r="E31" i="5"/>
  <c r="D31" i="5"/>
  <c r="G31" i="5"/>
  <c r="C31" i="5"/>
  <c r="D17" i="15"/>
  <c r="D18" i="15" s="1"/>
  <c r="F15" i="14"/>
  <c r="K25" i="7"/>
  <c r="G21" i="15"/>
  <c r="G22" i="15" s="1"/>
  <c r="G25" i="15" s="1"/>
  <c r="I17" i="14"/>
  <c r="N23" i="7"/>
  <c r="L23" i="15"/>
  <c r="L24" i="15" s="1"/>
  <c r="M18" i="14"/>
  <c r="S24" i="7"/>
  <c r="B16" i="6"/>
  <c r="I8" i="6" s="1"/>
  <c r="C19" i="5"/>
  <c r="J11" i="5" s="1"/>
  <c r="C18" i="5"/>
  <c r="J10" i="5" s="1"/>
  <c r="C17" i="5"/>
  <c r="J9" i="5" s="1"/>
  <c r="C16" i="5"/>
  <c r="J8" i="5" s="1"/>
  <c r="K8" i="5" s="1"/>
  <c r="C15" i="5"/>
  <c r="J7" i="5" s="1"/>
  <c r="C14" i="5"/>
  <c r="J6" i="5" s="1"/>
  <c r="C30" i="6"/>
  <c r="P2" i="11"/>
  <c r="P8" i="11" s="1"/>
  <c r="D12" i="3"/>
  <c r="I34" i="5"/>
  <c r="B35" i="5"/>
  <c r="I33" i="4"/>
  <c r="B34" i="4"/>
  <c r="H26" i="4"/>
  <c r="D31" i="2"/>
  <c r="G31" i="2"/>
  <c r="C31" i="2"/>
  <c r="F31" i="2"/>
  <c r="B31" i="2"/>
  <c r="E31" i="2"/>
  <c r="E35" i="2"/>
  <c r="B16" i="2"/>
  <c r="I8" i="2" s="1"/>
  <c r="P2" i="9"/>
  <c r="P8" i="9" s="1"/>
  <c r="D12" i="2"/>
  <c r="B15" i="1"/>
  <c r="I7" i="1" s="1"/>
  <c r="P2" i="8"/>
  <c r="P8" i="8" s="1"/>
  <c r="D12" i="1"/>
  <c r="B14" i="1"/>
  <c r="I6" i="1" s="1"/>
  <c r="D4" i="8"/>
  <c r="Q8" i="4"/>
  <c r="Q8" i="5"/>
  <c r="Q8" i="6"/>
  <c r="Q8" i="2"/>
  <c r="Q8" i="3"/>
  <c r="N33" i="1"/>
  <c r="Q8" i="1"/>
  <c r="F17" i="15"/>
  <c r="F18" i="15" s="1"/>
  <c r="H15" i="14"/>
  <c r="M25" i="7"/>
  <c r="T11" i="15"/>
  <c r="C11" i="15"/>
  <c r="C13" i="15" s="1"/>
  <c r="K13" i="15"/>
  <c r="J20" i="14"/>
  <c r="O21" i="7"/>
  <c r="G27" i="3"/>
  <c r="Q27" i="3" s="1"/>
  <c r="O10" i="14"/>
  <c r="E12" i="9" s="1"/>
  <c r="I16" i="14"/>
  <c r="G19" i="15"/>
  <c r="G20" i="15" s="1"/>
  <c r="N26" i="7"/>
  <c r="U13" i="15"/>
  <c r="S9" i="15"/>
  <c r="S10" i="15" s="1"/>
  <c r="S6" i="14"/>
  <c r="B24" i="7"/>
  <c r="H17" i="15"/>
  <c r="H18" i="15" s="1"/>
  <c r="J15" i="14"/>
  <c r="O25" i="7"/>
  <c r="T10" i="14"/>
  <c r="C12" i="10" s="1"/>
  <c r="P21" i="15"/>
  <c r="P22" i="15" s="1"/>
  <c r="Q17" i="14"/>
  <c r="W23" i="7"/>
  <c r="W11" i="15"/>
  <c r="K11" i="5"/>
  <c r="K7" i="5"/>
  <c r="P2" i="12"/>
  <c r="P8" i="12" s="1"/>
  <c r="D12" i="5"/>
  <c r="F21" i="15"/>
  <c r="F22" i="15" s="1"/>
  <c r="H17" i="14"/>
  <c r="M23" i="7"/>
  <c r="B19" i="6"/>
  <c r="I11" i="6" s="1"/>
  <c r="B15" i="6"/>
  <c r="I7" i="6" s="1"/>
  <c r="L21" i="15"/>
  <c r="L22" i="15" s="1"/>
  <c r="L25" i="15" s="1"/>
  <c r="M17" i="14"/>
  <c r="S23" i="7"/>
  <c r="G35" i="5"/>
  <c r="G30" i="6"/>
  <c r="H26" i="6"/>
  <c r="G30" i="4"/>
  <c r="E30" i="4"/>
  <c r="C30" i="4"/>
  <c r="G35" i="2"/>
  <c r="E30" i="6"/>
  <c r="I33" i="5"/>
  <c r="B30" i="4"/>
  <c r="B19" i="2"/>
  <c r="I11" i="2" s="1"/>
  <c r="B15" i="2"/>
  <c r="I7" i="2" s="1"/>
  <c r="B35" i="1"/>
  <c r="I34" i="1"/>
  <c r="G20" i="16"/>
  <c r="C19" i="1"/>
  <c r="J11" i="1" s="1"/>
  <c r="K11" i="1" s="1"/>
  <c r="C18" i="1"/>
  <c r="J10" i="1" s="1"/>
  <c r="C17" i="1"/>
  <c r="J9" i="1" s="1"/>
  <c r="K9" i="1" s="1"/>
  <c r="C16" i="1"/>
  <c r="J8" i="1" s="1"/>
  <c r="C15" i="1"/>
  <c r="J7" i="1" s="1"/>
  <c r="C14" i="1"/>
  <c r="J6" i="1" s="1"/>
  <c r="C17" i="15"/>
  <c r="C18" i="15" s="1"/>
  <c r="E15" i="14"/>
  <c r="J25" i="7"/>
  <c r="V10" i="14"/>
  <c r="E12" i="10" s="1"/>
  <c r="I20" i="14"/>
  <c r="N21" i="7"/>
  <c r="F27" i="3"/>
  <c r="P27" i="3" s="1"/>
  <c r="Q10" i="14"/>
  <c r="G12" i="9" s="1"/>
  <c r="P10" i="14"/>
  <c r="F12" i="9" s="1"/>
  <c r="M11" i="15"/>
  <c r="M13" i="15" s="1"/>
  <c r="F20" i="14"/>
  <c r="K21" i="7"/>
  <c r="C27" i="3"/>
  <c r="M27" i="3" s="1"/>
  <c r="L11" i="15"/>
  <c r="L13" i="15" s="1"/>
  <c r="P23" i="15"/>
  <c r="P24" i="15" s="1"/>
  <c r="Q18" i="14"/>
  <c r="W24" i="7"/>
  <c r="N19" i="15"/>
  <c r="N20" i="15" s="1"/>
  <c r="O16" i="14"/>
  <c r="U26" i="7"/>
  <c r="X10" i="14"/>
  <c r="G12" i="10" s="1"/>
  <c r="T13" i="15"/>
  <c r="F23" i="15"/>
  <c r="F24" i="15" s="1"/>
  <c r="H18" i="14"/>
  <c r="M24" i="7"/>
  <c r="K10" i="5"/>
  <c r="K6" i="5"/>
  <c r="C19" i="4"/>
  <c r="J11" i="4" s="1"/>
  <c r="K11" i="4" s="1"/>
  <c r="C18" i="4"/>
  <c r="J10" i="4" s="1"/>
  <c r="C17" i="4"/>
  <c r="J9" i="4" s="1"/>
  <c r="C16" i="4"/>
  <c r="J8" i="4" s="1"/>
  <c r="K8" i="4" s="1"/>
  <c r="C15" i="4"/>
  <c r="J7" i="4" s="1"/>
  <c r="K7" i="4" s="1"/>
  <c r="C14" i="4"/>
  <c r="J6" i="4" s="1"/>
  <c r="M21" i="15"/>
  <c r="M22" i="15" s="1"/>
  <c r="N17" i="14"/>
  <c r="T23" i="7"/>
  <c r="B18" i="6"/>
  <c r="I10" i="6" s="1"/>
  <c r="B14" i="6"/>
  <c r="I6" i="6" s="1"/>
  <c r="D19" i="15"/>
  <c r="D20" i="15" s="1"/>
  <c r="F16" i="14"/>
  <c r="K26" i="7"/>
  <c r="C19" i="6"/>
  <c r="J11" i="6" s="1"/>
  <c r="C18" i="6"/>
  <c r="J10" i="6" s="1"/>
  <c r="C17" i="6"/>
  <c r="J9" i="6" s="1"/>
  <c r="C16" i="6"/>
  <c r="J8" i="6" s="1"/>
  <c r="C15" i="6"/>
  <c r="J7" i="6" s="1"/>
  <c r="C14" i="6"/>
  <c r="J6" i="6" s="1"/>
  <c r="C35" i="5"/>
  <c r="I33" i="6"/>
  <c r="C19" i="3"/>
  <c r="J11" i="3" s="1"/>
  <c r="K11" i="3" s="1"/>
  <c r="C18" i="3"/>
  <c r="J10" i="3" s="1"/>
  <c r="K10" i="3" s="1"/>
  <c r="C17" i="3"/>
  <c r="J9" i="3" s="1"/>
  <c r="K9" i="3" s="1"/>
  <c r="C16" i="3"/>
  <c r="J8" i="3" s="1"/>
  <c r="K8" i="3" s="1"/>
  <c r="C15" i="3"/>
  <c r="J7" i="3" s="1"/>
  <c r="K7" i="3" s="1"/>
  <c r="C14" i="3"/>
  <c r="J6" i="3" s="1"/>
  <c r="K6" i="3" s="1"/>
  <c r="C35" i="2"/>
  <c r="I33" i="2"/>
  <c r="B18" i="2"/>
  <c r="I10" i="2" s="1"/>
  <c r="B14" i="2"/>
  <c r="I6" i="2" s="1"/>
  <c r="E19" i="1"/>
  <c r="L11" i="1" s="1"/>
  <c r="E18" i="1"/>
  <c r="L10" i="1" s="1"/>
  <c r="E17" i="1"/>
  <c r="L9" i="1" s="1"/>
  <c r="E16" i="1"/>
  <c r="L8" i="1" s="1"/>
  <c r="E15" i="1"/>
  <c r="L7" i="1" s="1"/>
  <c r="E14" i="1"/>
  <c r="L6" i="1" s="1"/>
  <c r="B18" i="1"/>
  <c r="I10" i="1" s="1"/>
  <c r="K10" i="1" s="1"/>
  <c r="W13" i="15"/>
  <c r="P13" i="15"/>
  <c r="N11" i="15"/>
  <c r="N13" i="15" s="1"/>
  <c r="O13" i="15"/>
  <c r="E10" i="14"/>
  <c r="B12" i="8" s="1"/>
  <c r="U8" i="14"/>
  <c r="U10" i="14" s="1"/>
  <c r="D12" i="10" s="1"/>
  <c r="D21" i="7"/>
  <c r="D27" i="4"/>
  <c r="G15" i="14"/>
  <c r="E17" i="15"/>
  <c r="E18" i="15" s="1"/>
  <c r="L25" i="7"/>
  <c r="X13" i="15"/>
  <c r="P18" i="14"/>
  <c r="O23" i="15"/>
  <c r="O24" i="15" s="1"/>
  <c r="V24" i="7"/>
  <c r="K9" i="5"/>
  <c r="G18" i="14"/>
  <c r="E23" i="15"/>
  <c r="E24" i="15" s="1"/>
  <c r="E25" i="15" s="1"/>
  <c r="L24" i="7"/>
  <c r="B17" i="6"/>
  <c r="I9" i="6" s="1"/>
  <c r="K9" i="6" s="1"/>
  <c r="D12" i="6"/>
  <c r="H19" i="15"/>
  <c r="H20" i="15" s="1"/>
  <c r="J16" i="14"/>
  <c r="O26" i="7"/>
  <c r="D25" i="15"/>
  <c r="I34" i="6"/>
  <c r="B35" i="6"/>
  <c r="C19" i="2"/>
  <c r="J11" i="2" s="1"/>
  <c r="C18" i="2"/>
  <c r="J10" i="2" s="1"/>
  <c r="C17" i="2"/>
  <c r="J9" i="2" s="1"/>
  <c r="C16" i="2"/>
  <c r="J8" i="2" s="1"/>
  <c r="C15" i="2"/>
  <c r="J7" i="2" s="1"/>
  <c r="C14" i="2"/>
  <c r="J6" i="2" s="1"/>
  <c r="D2" i="4"/>
  <c r="B17" i="4"/>
  <c r="I9" i="4" s="1"/>
  <c r="K9" i="4" s="1"/>
  <c r="B14" i="4"/>
  <c r="I6" i="4" s="1"/>
  <c r="K6" i="4" s="1"/>
  <c r="H26" i="5"/>
  <c r="F30" i="4"/>
  <c r="B18" i="4"/>
  <c r="I10" i="4" s="1"/>
  <c r="K10" i="4" s="1"/>
  <c r="D31" i="4"/>
  <c r="F31" i="4"/>
  <c r="B31" i="4"/>
  <c r="E31" i="4"/>
  <c r="C31" i="4"/>
  <c r="G31" i="4"/>
  <c r="P2" i="10"/>
  <c r="P8" i="10" s="1"/>
  <c r="D12" i="4"/>
  <c r="I33" i="3"/>
  <c r="B34" i="3"/>
  <c r="H26" i="3"/>
  <c r="B17" i="2"/>
  <c r="I9" i="2" s="1"/>
  <c r="K9" i="2" s="1"/>
  <c r="B16" i="1"/>
  <c r="I8" i="1" s="1"/>
  <c r="K8" i="1" s="1"/>
  <c r="B4" i="8" l="1"/>
  <c r="Q6" i="4"/>
  <c r="Q6" i="5"/>
  <c r="Q6" i="6"/>
  <c r="Q6" i="2"/>
  <c r="Q6" i="3"/>
  <c r="L33" i="1"/>
  <c r="Q6" i="1"/>
  <c r="C4" i="9"/>
  <c r="M34" i="2"/>
  <c r="D4" i="9"/>
  <c r="N34" i="2"/>
  <c r="E4" i="9"/>
  <c r="O34" i="2"/>
  <c r="I34" i="3"/>
  <c r="B35" i="3" s="1"/>
  <c r="F35" i="6"/>
  <c r="C35" i="6"/>
  <c r="M23" i="15"/>
  <c r="M24" i="15" s="1"/>
  <c r="N18" i="14"/>
  <c r="T24" i="7"/>
  <c r="W23" i="15"/>
  <c r="W24" i="15" s="1"/>
  <c r="W18" i="14"/>
  <c r="M17" i="15"/>
  <c r="M18" i="15" s="1"/>
  <c r="N15" i="14"/>
  <c r="T25" i="7"/>
  <c r="G20" i="14"/>
  <c r="L21" i="7"/>
  <c r="D27" i="3"/>
  <c r="N27" i="3" s="1"/>
  <c r="C36" i="5"/>
  <c r="C32" i="5"/>
  <c r="M26" i="5" s="1"/>
  <c r="M28" i="5" s="1"/>
  <c r="M30" i="5" s="1"/>
  <c r="U17" i="14"/>
  <c r="U21" i="15"/>
  <c r="U22" i="15" s="1"/>
  <c r="V19" i="15"/>
  <c r="V20" i="15" s="1"/>
  <c r="V16" i="14"/>
  <c r="K17" i="15"/>
  <c r="K18" i="15" s="1"/>
  <c r="L15" i="14"/>
  <c r="R25" i="7"/>
  <c r="K7" i="2"/>
  <c r="G36" i="5"/>
  <c r="G32" i="5"/>
  <c r="Q26" i="5" s="1"/>
  <c r="Q28" i="5" s="1"/>
  <c r="Q30" i="5" s="1"/>
  <c r="J22" i="14"/>
  <c r="G12" i="11" s="1"/>
  <c r="K7" i="1"/>
  <c r="E36" i="2"/>
  <c r="E32" i="2"/>
  <c r="O26" i="2" s="1"/>
  <c r="O28" i="2" s="1"/>
  <c r="O30" i="2" s="1"/>
  <c r="D35" i="5"/>
  <c r="F35" i="5"/>
  <c r="D27" i="15"/>
  <c r="C4" i="11" s="1"/>
  <c r="L16" i="14"/>
  <c r="K19" i="15"/>
  <c r="K20" i="15" s="1"/>
  <c r="R26" i="7"/>
  <c r="I22" i="14"/>
  <c r="F12" i="11" s="1"/>
  <c r="L27" i="3"/>
  <c r="F36" i="2"/>
  <c r="F32" i="2"/>
  <c r="P26" i="2" s="1"/>
  <c r="P28" i="2" s="1"/>
  <c r="P30" i="2" s="1"/>
  <c r="D19" i="6"/>
  <c r="D18" i="6"/>
  <c r="D17" i="6"/>
  <c r="M9" i="6" s="1"/>
  <c r="D16" i="6"/>
  <c r="D15" i="6"/>
  <c r="D14" i="6"/>
  <c r="E27" i="15"/>
  <c r="D4" i="11" s="1"/>
  <c r="G4" i="9"/>
  <c r="Q34" i="2"/>
  <c r="M20" i="14"/>
  <c r="S21" i="7"/>
  <c r="C27" i="5"/>
  <c r="M27" i="5" s="1"/>
  <c r="P20" i="14"/>
  <c r="V21" i="7"/>
  <c r="F27" i="5"/>
  <c r="P27" i="5" s="1"/>
  <c r="K11" i="2"/>
  <c r="M11" i="2" s="1"/>
  <c r="G32" i="2"/>
  <c r="Q26" i="2" s="1"/>
  <c r="Q28" i="2" s="1"/>
  <c r="Q30" i="2" s="1"/>
  <c r="G36" i="2"/>
  <c r="D35" i="6"/>
  <c r="K7" i="6"/>
  <c r="M7" i="6" s="1"/>
  <c r="F25" i="15"/>
  <c r="M11" i="5"/>
  <c r="P25" i="15"/>
  <c r="H27" i="15"/>
  <c r="G4" i="11" s="1"/>
  <c r="D4" i="10"/>
  <c r="N34" i="4"/>
  <c r="N34" i="3"/>
  <c r="B4" i="9"/>
  <c r="L34" i="2"/>
  <c r="N17" i="15"/>
  <c r="N18" i="15" s="1"/>
  <c r="O15" i="14"/>
  <c r="U25" i="7"/>
  <c r="K6" i="1"/>
  <c r="D19" i="2"/>
  <c r="D18" i="2"/>
  <c r="D17" i="2"/>
  <c r="M9" i="2" s="1"/>
  <c r="D16" i="2"/>
  <c r="D15" i="2"/>
  <c r="D14" i="2"/>
  <c r="I34" i="4"/>
  <c r="B35" i="4" s="1"/>
  <c r="E35" i="6"/>
  <c r="K8" i="6"/>
  <c r="M8" i="6" s="1"/>
  <c r="G27" i="15"/>
  <c r="F4" i="11" s="1"/>
  <c r="L20" i="14"/>
  <c r="R21" i="7"/>
  <c r="B27" i="5"/>
  <c r="D32" i="2"/>
  <c r="N26" i="2" s="1"/>
  <c r="N28" i="2" s="1"/>
  <c r="N30" i="2" s="1"/>
  <c r="D36" i="2"/>
  <c r="D18" i="4"/>
  <c r="D16" i="4"/>
  <c r="M8" i="4" s="1"/>
  <c r="D14" i="4"/>
  <c r="M6" i="4" s="1"/>
  <c r="D19" i="4"/>
  <c r="M11" i="4" s="1"/>
  <c r="D17" i="4"/>
  <c r="M9" i="4" s="1"/>
  <c r="D15" i="4"/>
  <c r="M7" i="4" s="1"/>
  <c r="P19" i="15"/>
  <c r="P20" i="15" s="1"/>
  <c r="Q16" i="14"/>
  <c r="W26" i="7"/>
  <c r="G22" i="14"/>
  <c r="D12" i="11" s="1"/>
  <c r="F4" i="10"/>
  <c r="P34" i="4"/>
  <c r="P34" i="3"/>
  <c r="K6" i="2"/>
  <c r="K6" i="6"/>
  <c r="M6" i="6" s="1"/>
  <c r="M25" i="15"/>
  <c r="C4" i="10"/>
  <c r="M34" i="4"/>
  <c r="M34" i="3"/>
  <c r="E35" i="1"/>
  <c r="D35" i="1"/>
  <c r="F35" i="1"/>
  <c r="C35" i="1"/>
  <c r="I35" i="1" s="1"/>
  <c r="G35" i="1"/>
  <c r="T21" i="15"/>
  <c r="T22" i="15" s="1"/>
  <c r="T25" i="15" s="1"/>
  <c r="T17" i="14"/>
  <c r="K11" i="6"/>
  <c r="M11" i="6" s="1"/>
  <c r="D19" i="5"/>
  <c r="D18" i="5"/>
  <c r="M10" i="5" s="1"/>
  <c r="D17" i="5"/>
  <c r="D16" i="5"/>
  <c r="M8" i="5" s="1"/>
  <c r="D15" i="5"/>
  <c r="M7" i="5" s="1"/>
  <c r="D14" i="5"/>
  <c r="M6" i="5" s="1"/>
  <c r="C23" i="15"/>
  <c r="C24" i="15" s="1"/>
  <c r="E18" i="14"/>
  <c r="J24" i="7"/>
  <c r="P16" i="14"/>
  <c r="O19" i="15"/>
  <c r="O20" i="15" s="1"/>
  <c r="V26" i="7"/>
  <c r="H22" i="14"/>
  <c r="E12" i="11" s="1"/>
  <c r="D19" i="1"/>
  <c r="M11" i="1" s="1"/>
  <c r="D17" i="1"/>
  <c r="M9" i="1" s="1"/>
  <c r="D18" i="1"/>
  <c r="D14" i="1"/>
  <c r="D16" i="1"/>
  <c r="M8" i="1" s="1"/>
  <c r="D15" i="1"/>
  <c r="T23" i="15"/>
  <c r="T24" i="15" s="1"/>
  <c r="T18" i="14"/>
  <c r="E35" i="5"/>
  <c r="L17" i="15"/>
  <c r="L18" i="15" s="1"/>
  <c r="M15" i="14"/>
  <c r="S25" i="7"/>
  <c r="H20" i="14"/>
  <c r="M21" i="7"/>
  <c r="E27" i="3"/>
  <c r="O27" i="3" s="1"/>
  <c r="E4" i="10"/>
  <c r="O34" i="4"/>
  <c r="O34" i="3"/>
  <c r="L11" i="16"/>
  <c r="B36" i="2"/>
  <c r="I35" i="2"/>
  <c r="B32" i="2"/>
  <c r="M10" i="4"/>
  <c r="B36" i="6"/>
  <c r="B32" i="6"/>
  <c r="M9" i="5"/>
  <c r="G4" i="10"/>
  <c r="Q34" i="4"/>
  <c r="Q34" i="3"/>
  <c r="H27" i="4"/>
  <c r="N27" i="4"/>
  <c r="F4" i="9"/>
  <c r="P34" i="2"/>
  <c r="M10" i="1"/>
  <c r="K10" i="2"/>
  <c r="M10" i="2" s="1"/>
  <c r="C32" i="2"/>
  <c r="M26" i="2" s="1"/>
  <c r="M28" i="2" s="1"/>
  <c r="M30" i="2" s="1"/>
  <c r="C36" i="2"/>
  <c r="G35" i="6"/>
  <c r="I35" i="6" s="1"/>
  <c r="L19" i="15"/>
  <c r="L20" i="15" s="1"/>
  <c r="M16" i="14"/>
  <c r="S26" i="7"/>
  <c r="K10" i="6"/>
  <c r="M10" i="6" s="1"/>
  <c r="N23" i="15"/>
  <c r="N24" i="15" s="1"/>
  <c r="O18" i="14"/>
  <c r="U24" i="7"/>
  <c r="X23" i="15"/>
  <c r="X24" i="15" s="1"/>
  <c r="X18" i="14"/>
  <c r="B32" i="1"/>
  <c r="B36" i="1"/>
  <c r="N21" i="15"/>
  <c r="N22" i="15" s="1"/>
  <c r="O17" i="14"/>
  <c r="U23" i="7"/>
  <c r="X21" i="15"/>
  <c r="X22" i="15" s="1"/>
  <c r="X17" i="14"/>
  <c r="P17" i="15"/>
  <c r="P18" i="15" s="1"/>
  <c r="P27" i="15" s="1"/>
  <c r="Q15" i="14"/>
  <c r="Q22" i="14" s="1"/>
  <c r="G12" i="12" s="1"/>
  <c r="W25" i="7"/>
  <c r="Q20" i="14"/>
  <c r="W21" i="7"/>
  <c r="G27" i="5"/>
  <c r="Q27" i="5" s="1"/>
  <c r="F27" i="15"/>
  <c r="E4" i="11" s="1"/>
  <c r="K8" i="2"/>
  <c r="M8" i="2" s="1"/>
  <c r="B32" i="5"/>
  <c r="B36" i="5"/>
  <c r="I35" i="5"/>
  <c r="D19" i="3"/>
  <c r="M11" i="3" s="1"/>
  <c r="D18" i="3"/>
  <c r="M10" i="3" s="1"/>
  <c r="D17" i="3"/>
  <c r="M9" i="3" s="1"/>
  <c r="D16" i="3"/>
  <c r="M8" i="3" s="1"/>
  <c r="D15" i="3"/>
  <c r="M7" i="3" s="1"/>
  <c r="D14" i="3"/>
  <c r="M6" i="3" s="1"/>
  <c r="P17" i="14"/>
  <c r="O21" i="15"/>
  <c r="O22" i="15" s="1"/>
  <c r="O25" i="15" s="1"/>
  <c r="V23" i="7"/>
  <c r="F22" i="14"/>
  <c r="C12" i="11" s="1"/>
  <c r="S7" i="15"/>
  <c r="S8" i="15" s="1"/>
  <c r="S11" i="15" s="1"/>
  <c r="S13" i="15" s="1"/>
  <c r="S5" i="14"/>
  <c r="S10" i="14" s="1"/>
  <c r="B12" i="10" s="1"/>
  <c r="B23" i="7"/>
  <c r="P15" i="14"/>
  <c r="O17" i="15"/>
  <c r="O18" i="15" s="1"/>
  <c r="O27" i="15" s="1"/>
  <c r="V25" i="7"/>
  <c r="M19" i="15"/>
  <c r="M20" i="15" s="1"/>
  <c r="N16" i="14"/>
  <c r="T26" i="7"/>
  <c r="S6" i="3" l="1"/>
  <c r="T6" i="3"/>
  <c r="O6" i="3"/>
  <c r="S10" i="3"/>
  <c r="T10" i="3"/>
  <c r="O10" i="3"/>
  <c r="T8" i="5"/>
  <c r="O8" i="5"/>
  <c r="S8" i="5"/>
  <c r="T6" i="4"/>
  <c r="O6" i="4"/>
  <c r="S6" i="4"/>
  <c r="S9" i="6"/>
  <c r="T9" i="6"/>
  <c r="O9" i="6"/>
  <c r="T7" i="3"/>
  <c r="O7" i="3"/>
  <c r="S7" i="3"/>
  <c r="T11" i="3"/>
  <c r="O11" i="3"/>
  <c r="S11" i="3"/>
  <c r="T9" i="1"/>
  <c r="O9" i="1"/>
  <c r="S9" i="1"/>
  <c r="T7" i="4"/>
  <c r="O7" i="4"/>
  <c r="S7" i="4"/>
  <c r="T8" i="4"/>
  <c r="O8" i="4"/>
  <c r="S8" i="4"/>
  <c r="S8" i="3"/>
  <c r="T8" i="3"/>
  <c r="O8" i="3"/>
  <c r="T8" i="1"/>
  <c r="O8" i="1"/>
  <c r="S8" i="1"/>
  <c r="T11" i="1"/>
  <c r="O11" i="1"/>
  <c r="S11" i="1"/>
  <c r="T6" i="5"/>
  <c r="O6" i="5"/>
  <c r="S6" i="5"/>
  <c r="T10" i="5"/>
  <c r="O10" i="5"/>
  <c r="S10" i="5"/>
  <c r="T9" i="4"/>
  <c r="O9" i="4"/>
  <c r="S9" i="4"/>
  <c r="B36" i="3"/>
  <c r="B32" i="3"/>
  <c r="T9" i="3"/>
  <c r="O9" i="3"/>
  <c r="S9" i="3"/>
  <c r="T7" i="5"/>
  <c r="O7" i="5"/>
  <c r="S7" i="5"/>
  <c r="T11" i="4"/>
  <c r="O11" i="4"/>
  <c r="S11" i="4"/>
  <c r="B36" i="4"/>
  <c r="B32" i="4"/>
  <c r="T9" i="2"/>
  <c r="O9" i="2"/>
  <c r="S9" i="2"/>
  <c r="B4" i="10"/>
  <c r="L34" i="4"/>
  <c r="L34" i="3"/>
  <c r="C21" i="15"/>
  <c r="C22" i="15" s="1"/>
  <c r="C25" i="15" s="1"/>
  <c r="C27" i="15" s="1"/>
  <c r="B4" i="11" s="1"/>
  <c r="E17" i="14"/>
  <c r="E22" i="14" s="1"/>
  <c r="B12" i="11" s="1"/>
  <c r="J23" i="7"/>
  <c r="W21" i="15"/>
  <c r="W22" i="15" s="1"/>
  <c r="W25" i="15" s="1"/>
  <c r="W17" i="14"/>
  <c r="N25" i="15"/>
  <c r="V23" i="15"/>
  <c r="V24" i="15" s="1"/>
  <c r="V18" i="14"/>
  <c r="T19" i="15"/>
  <c r="T20" i="15" s="1"/>
  <c r="T16" i="14"/>
  <c r="L26" i="6"/>
  <c r="L28" i="6" s="1"/>
  <c r="L30" i="6" s="1"/>
  <c r="L27" i="15"/>
  <c r="W17" i="15"/>
  <c r="W18" i="15" s="1"/>
  <c r="W15" i="14"/>
  <c r="X17" i="15"/>
  <c r="X18" i="15" s="1"/>
  <c r="X15" i="14"/>
  <c r="X25" i="15"/>
  <c r="C2" i="9"/>
  <c r="C6" i="9" s="1"/>
  <c r="M32" i="2"/>
  <c r="M31" i="2"/>
  <c r="E32" i="5"/>
  <c r="O26" i="5" s="1"/>
  <c r="O28" i="5" s="1"/>
  <c r="O30" i="5" s="1"/>
  <c r="E36" i="5"/>
  <c r="F32" i="1"/>
  <c r="P26" i="1" s="1"/>
  <c r="P29" i="1" s="1"/>
  <c r="F36" i="1"/>
  <c r="D2" i="9"/>
  <c r="D6" i="9" s="1"/>
  <c r="N32" i="2"/>
  <c r="N31" i="2"/>
  <c r="V17" i="15"/>
  <c r="V18" i="15" s="1"/>
  <c r="V15" i="14"/>
  <c r="G2" i="9"/>
  <c r="G6" i="9" s="1"/>
  <c r="Q32" i="2"/>
  <c r="Q31" i="2"/>
  <c r="W20" i="14"/>
  <c r="F27" i="6"/>
  <c r="P27" i="6" s="1"/>
  <c r="T20" i="14"/>
  <c r="C27" i="6"/>
  <c r="M27" i="6" s="1"/>
  <c r="S16" i="14"/>
  <c r="S19" i="15"/>
  <c r="S20" i="15" s="1"/>
  <c r="F32" i="5"/>
  <c r="P26" i="5" s="1"/>
  <c r="P28" i="5" s="1"/>
  <c r="P30" i="5" s="1"/>
  <c r="F36" i="5"/>
  <c r="M7" i="1"/>
  <c r="U15" i="14"/>
  <c r="U17" i="15"/>
  <c r="U18" i="15" s="1"/>
  <c r="C36" i="6"/>
  <c r="C32" i="6"/>
  <c r="M26" i="6" s="1"/>
  <c r="M28" i="6" s="1"/>
  <c r="M30" i="6" s="1"/>
  <c r="F4" i="12"/>
  <c r="P34" i="5"/>
  <c r="T10" i="2"/>
  <c r="O10" i="2"/>
  <c r="S10" i="2"/>
  <c r="I36" i="2"/>
  <c r="T17" i="15"/>
  <c r="T18" i="15" s="1"/>
  <c r="T27" i="15" s="1"/>
  <c r="T15" i="14"/>
  <c r="T22" i="14" s="1"/>
  <c r="C12" i="13" s="1"/>
  <c r="L18" i="14"/>
  <c r="K23" i="15"/>
  <c r="K24" i="15" s="1"/>
  <c r="R24" i="7"/>
  <c r="D36" i="1"/>
  <c r="D32" i="1"/>
  <c r="N26" i="1" s="1"/>
  <c r="N29" i="1" s="1"/>
  <c r="T6" i="6"/>
  <c r="O6" i="6"/>
  <c r="S6" i="6"/>
  <c r="X19" i="15"/>
  <c r="X20" i="15" s="1"/>
  <c r="X16" i="14"/>
  <c r="L27" i="5"/>
  <c r="T8" i="6"/>
  <c r="O8" i="6"/>
  <c r="S8" i="6"/>
  <c r="S7" i="6"/>
  <c r="T7" i="6"/>
  <c r="O7" i="6"/>
  <c r="T11" i="2"/>
  <c r="O11" i="2"/>
  <c r="S11" i="2"/>
  <c r="F2" i="9"/>
  <c r="F6" i="9" s="1"/>
  <c r="P31" i="2"/>
  <c r="P32" i="2"/>
  <c r="H27" i="3"/>
  <c r="D36" i="5"/>
  <c r="I36" i="5" s="1"/>
  <c r="D32" i="5"/>
  <c r="N26" i="5" s="1"/>
  <c r="N28" i="5" s="1"/>
  <c r="N30" i="5" s="1"/>
  <c r="M7" i="2"/>
  <c r="N22" i="14"/>
  <c r="D12" i="12" s="1"/>
  <c r="U18" i="14"/>
  <c r="U23" i="15"/>
  <c r="U24" i="15" s="1"/>
  <c r="U25" i="15" s="1"/>
  <c r="F36" i="6"/>
  <c r="F32" i="6"/>
  <c r="P26" i="6" s="1"/>
  <c r="P28" i="6" s="1"/>
  <c r="P30" i="6" s="1"/>
  <c r="U16" i="14"/>
  <c r="U19" i="15"/>
  <c r="U20" i="15" s="1"/>
  <c r="V21" i="15"/>
  <c r="V22" i="15" s="1"/>
  <c r="V25" i="15" s="1"/>
  <c r="V17" i="14"/>
  <c r="P22" i="14"/>
  <c r="F12" i="12" s="1"/>
  <c r="L26" i="5"/>
  <c r="L28" i="5" s="1"/>
  <c r="L30" i="5" s="1"/>
  <c r="I32" i="5"/>
  <c r="X20" i="14"/>
  <c r="G27" i="6"/>
  <c r="Q27" i="6" s="1"/>
  <c r="G4" i="12"/>
  <c r="Q34" i="5"/>
  <c r="Q31" i="5" s="1"/>
  <c r="L26" i="1"/>
  <c r="T10" i="6"/>
  <c r="O10" i="6"/>
  <c r="S10" i="6"/>
  <c r="G36" i="6"/>
  <c r="G32" i="6"/>
  <c r="Q26" i="6" s="1"/>
  <c r="Q28" i="6" s="1"/>
  <c r="Q30" i="6" s="1"/>
  <c r="T10" i="1"/>
  <c r="O10" i="1"/>
  <c r="S10" i="1"/>
  <c r="T9" i="5"/>
  <c r="O9" i="5"/>
  <c r="S9" i="5"/>
  <c r="T10" i="4"/>
  <c r="O10" i="4"/>
  <c r="S10" i="4"/>
  <c r="M22" i="14"/>
  <c r="C12" i="12" s="1"/>
  <c r="W19" i="15"/>
  <c r="W20" i="15" s="1"/>
  <c r="W16" i="14"/>
  <c r="G36" i="1"/>
  <c r="G32" i="1"/>
  <c r="Q26" i="1" s="1"/>
  <c r="Q29" i="1" s="1"/>
  <c r="E32" i="1"/>
  <c r="O26" i="1" s="1"/>
  <c r="O29" i="1" s="1"/>
  <c r="E36" i="1"/>
  <c r="M6" i="2"/>
  <c r="S20" i="14"/>
  <c r="B27" i="6"/>
  <c r="E36" i="6"/>
  <c r="I36" i="6" s="1"/>
  <c r="E32" i="6"/>
  <c r="O26" i="6" s="1"/>
  <c r="O28" i="6" s="1"/>
  <c r="O30" i="6" s="1"/>
  <c r="N27" i="15"/>
  <c r="D36" i="6"/>
  <c r="D32" i="6"/>
  <c r="N26" i="6" s="1"/>
  <c r="N28" i="6" s="1"/>
  <c r="N30" i="6" s="1"/>
  <c r="E2" i="9"/>
  <c r="E6" i="9" s="1"/>
  <c r="O32" i="2"/>
  <c r="O31" i="2"/>
  <c r="S17" i="15"/>
  <c r="S18" i="15" s="1"/>
  <c r="S15" i="14"/>
  <c r="N20" i="14"/>
  <c r="T21" i="7"/>
  <c r="D27" i="5"/>
  <c r="N27" i="5" s="1"/>
  <c r="M27" i="15"/>
  <c r="T8" i="2"/>
  <c r="O8" i="2"/>
  <c r="S8" i="2"/>
  <c r="I32" i="2"/>
  <c r="L26" i="2"/>
  <c r="L28" i="2" s="1"/>
  <c r="L30" i="2" s="1"/>
  <c r="O20" i="14"/>
  <c r="O22" i="14" s="1"/>
  <c r="E12" i="12" s="1"/>
  <c r="U21" i="7"/>
  <c r="E27" i="5"/>
  <c r="O27" i="5" s="1"/>
  <c r="S11" i="6"/>
  <c r="T11" i="6"/>
  <c r="O11" i="6"/>
  <c r="C36" i="1"/>
  <c r="I36" i="1" s="1"/>
  <c r="C32" i="1"/>
  <c r="M26" i="1" s="1"/>
  <c r="M29" i="1" s="1"/>
  <c r="C35" i="4"/>
  <c r="G35" i="4"/>
  <c r="E35" i="4"/>
  <c r="F35" i="4"/>
  <c r="D35" i="4"/>
  <c r="M6" i="1"/>
  <c r="T11" i="5"/>
  <c r="O11" i="5"/>
  <c r="S11" i="5"/>
  <c r="G2" i="12"/>
  <c r="G6" i="12" s="1"/>
  <c r="Q32" i="5"/>
  <c r="C2" i="12"/>
  <c r="M32" i="5"/>
  <c r="E35" i="3"/>
  <c r="C35" i="3"/>
  <c r="G35" i="3"/>
  <c r="D35" i="3"/>
  <c r="F35" i="3"/>
  <c r="Q43" i="5" l="1"/>
  <c r="Q33" i="5"/>
  <c r="Q44" i="5" s="1"/>
  <c r="G9" i="12" s="1"/>
  <c r="D4" i="12"/>
  <c r="N34" i="5"/>
  <c r="C2" i="8"/>
  <c r="C6" i="8" s="1"/>
  <c r="M31" i="1"/>
  <c r="M30" i="1"/>
  <c r="E2" i="13"/>
  <c r="O32" i="6"/>
  <c r="T6" i="2"/>
  <c r="O6" i="2"/>
  <c r="S6" i="2"/>
  <c r="I32" i="1"/>
  <c r="S18" i="14"/>
  <c r="S23" i="15"/>
  <c r="S24" i="15" s="1"/>
  <c r="T7" i="1"/>
  <c r="O7" i="1"/>
  <c r="S7" i="1"/>
  <c r="E2" i="12"/>
  <c r="O32" i="5"/>
  <c r="O31" i="5"/>
  <c r="W22" i="14"/>
  <c r="F12" i="13" s="1"/>
  <c r="I32" i="6"/>
  <c r="L17" i="14"/>
  <c r="L22" i="14" s="1"/>
  <c r="B12" i="12" s="1"/>
  <c r="K21" i="15"/>
  <c r="K22" i="15" s="1"/>
  <c r="K25" i="15" s="1"/>
  <c r="K27" i="15" s="1"/>
  <c r="R23" i="7"/>
  <c r="C36" i="3"/>
  <c r="C32" i="3"/>
  <c r="M26" i="3" s="1"/>
  <c r="M28" i="3" s="1"/>
  <c r="M30" i="3" s="1"/>
  <c r="E32" i="4"/>
  <c r="O26" i="4" s="1"/>
  <c r="O28" i="4" s="1"/>
  <c r="O30" i="4" s="1"/>
  <c r="E36" i="4"/>
  <c r="T6" i="1"/>
  <c r="O6" i="1"/>
  <c r="S6" i="1"/>
  <c r="B2" i="9"/>
  <c r="B6" i="9" s="1"/>
  <c r="L31" i="2"/>
  <c r="L32" i="2"/>
  <c r="D2" i="13"/>
  <c r="N32" i="6"/>
  <c r="G2" i="13"/>
  <c r="Q32" i="6"/>
  <c r="T7" i="2"/>
  <c r="O7" i="2"/>
  <c r="S7" i="2"/>
  <c r="T12" i="6"/>
  <c r="C4" i="13"/>
  <c r="M34" i="6"/>
  <c r="U27" i="15"/>
  <c r="Q33" i="2"/>
  <c r="Q44" i="2" s="1"/>
  <c r="Q43" i="2"/>
  <c r="V27" i="15"/>
  <c r="M33" i="2"/>
  <c r="M44" i="2" s="1"/>
  <c r="M43" i="2"/>
  <c r="X22" i="14"/>
  <c r="G12" i="13" s="1"/>
  <c r="W27" i="15"/>
  <c r="L26" i="3"/>
  <c r="L28" i="3" s="1"/>
  <c r="L30" i="3" s="1"/>
  <c r="S12" i="5"/>
  <c r="S12" i="4"/>
  <c r="T12" i="3"/>
  <c r="G36" i="3"/>
  <c r="G32" i="3"/>
  <c r="Q26" i="3" s="1"/>
  <c r="Q28" i="3" s="1"/>
  <c r="Q30" i="3" s="1"/>
  <c r="F36" i="4"/>
  <c r="F32" i="4"/>
  <c r="P26" i="4" s="1"/>
  <c r="P28" i="4" s="1"/>
  <c r="P30" i="4" s="1"/>
  <c r="F36" i="3"/>
  <c r="I36" i="3" s="1"/>
  <c r="F32" i="3"/>
  <c r="P26" i="3" s="1"/>
  <c r="P28" i="3" s="1"/>
  <c r="P30" i="3" s="1"/>
  <c r="E32" i="3"/>
  <c r="O26" i="3" s="1"/>
  <c r="O28" i="3" s="1"/>
  <c r="O30" i="3" s="1"/>
  <c r="E36" i="3"/>
  <c r="G36" i="4"/>
  <c r="G32" i="4"/>
  <c r="Q26" i="4" s="1"/>
  <c r="Q28" i="4" s="1"/>
  <c r="Q30" i="4" s="1"/>
  <c r="U20" i="14"/>
  <c r="U22" i="14" s="1"/>
  <c r="D12" i="13" s="1"/>
  <c r="D27" i="6"/>
  <c r="N27" i="6" s="1"/>
  <c r="O43" i="2"/>
  <c r="O33" i="2"/>
  <c r="O44" i="2" s="1"/>
  <c r="D32" i="3"/>
  <c r="N26" i="3" s="1"/>
  <c r="N28" i="3" s="1"/>
  <c r="N30" i="3" s="1"/>
  <c r="D36" i="3"/>
  <c r="D32" i="4"/>
  <c r="N26" i="4" s="1"/>
  <c r="N28" i="4" s="1"/>
  <c r="N30" i="4" s="1"/>
  <c r="D36" i="4"/>
  <c r="C36" i="4"/>
  <c r="I36" i="4" s="1"/>
  <c r="C32" i="4"/>
  <c r="M26" i="4" s="1"/>
  <c r="M28" i="4" s="1"/>
  <c r="M30" i="4" s="1"/>
  <c r="L27" i="6"/>
  <c r="E2" i="8"/>
  <c r="E6" i="8" s="1"/>
  <c r="O31" i="1"/>
  <c r="O30" i="1"/>
  <c r="B2" i="12"/>
  <c r="L32" i="5"/>
  <c r="H27" i="5"/>
  <c r="D2" i="8"/>
  <c r="D6" i="8" s="1"/>
  <c r="N31" i="1"/>
  <c r="N30" i="1"/>
  <c r="F2" i="12"/>
  <c r="F6" i="12" s="1"/>
  <c r="P32" i="5"/>
  <c r="P31" i="5"/>
  <c r="N33" i="2"/>
  <c r="N44" i="2" s="1"/>
  <c r="N43" i="2"/>
  <c r="F2" i="8"/>
  <c r="F6" i="8" s="1"/>
  <c r="P30" i="1"/>
  <c r="P31" i="1"/>
  <c r="X27" i="15"/>
  <c r="C4" i="12"/>
  <c r="C6" i="12" s="1"/>
  <c r="M34" i="5"/>
  <c r="M31" i="5" s="1"/>
  <c r="I32" i="4"/>
  <c r="L26" i="4"/>
  <c r="L28" i="4" s="1"/>
  <c r="L30" i="4" s="1"/>
  <c r="I35" i="3"/>
  <c r="V20" i="14"/>
  <c r="V22" i="14" s="1"/>
  <c r="E12" i="13" s="1"/>
  <c r="E27" i="6"/>
  <c r="O27" i="6" s="1"/>
  <c r="E4" i="12"/>
  <c r="O34" i="5"/>
  <c r="G2" i="8"/>
  <c r="G6" i="8" s="1"/>
  <c r="Q31" i="1"/>
  <c r="Q30" i="1"/>
  <c r="L29" i="1"/>
  <c r="R26" i="1"/>
  <c r="F2" i="13"/>
  <c r="P32" i="6"/>
  <c r="D2" i="12"/>
  <c r="D6" i="12" s="1"/>
  <c r="N31" i="5"/>
  <c r="N32" i="5"/>
  <c r="P33" i="2"/>
  <c r="P44" i="2" s="1"/>
  <c r="P43" i="2"/>
  <c r="S12" i="6"/>
  <c r="C2" i="13"/>
  <c r="C6" i="13" s="1"/>
  <c r="M32" i="6"/>
  <c r="M31" i="6"/>
  <c r="B2" i="13"/>
  <c r="L32" i="6"/>
  <c r="I35" i="4"/>
  <c r="T12" i="5"/>
  <c r="T12" i="4"/>
  <c r="S12" i="3"/>
  <c r="P7" i="14" l="1"/>
  <c r="P11" i="14" s="1"/>
  <c r="F13" i="9" s="1"/>
  <c r="F5" i="9"/>
  <c r="Q32" i="1"/>
  <c r="Q45" i="1" s="1"/>
  <c r="Q44" i="1"/>
  <c r="D2" i="11"/>
  <c r="D6" i="11" s="1"/>
  <c r="N32" i="3"/>
  <c r="N31" i="3"/>
  <c r="E2" i="11"/>
  <c r="E6" i="11" s="1"/>
  <c r="O32" i="3"/>
  <c r="O31" i="3"/>
  <c r="B2" i="11"/>
  <c r="B6" i="11" s="1"/>
  <c r="L32" i="3"/>
  <c r="L31" i="3"/>
  <c r="M7" i="14"/>
  <c r="M11" i="14" s="1"/>
  <c r="C5" i="9"/>
  <c r="U10" i="6"/>
  <c r="V10" i="6" s="1"/>
  <c r="N10" i="6" s="1"/>
  <c r="P10" i="6" s="1"/>
  <c r="U8" i="6"/>
  <c r="V8" i="6" s="1"/>
  <c r="N8" i="6" s="1"/>
  <c r="P8" i="6" s="1"/>
  <c r="U6" i="6"/>
  <c r="V6" i="6" s="1"/>
  <c r="N6" i="6" s="1"/>
  <c r="P6" i="6" s="1"/>
  <c r="U11" i="6"/>
  <c r="V11" i="6" s="1"/>
  <c r="N11" i="6" s="1"/>
  <c r="P11" i="6" s="1"/>
  <c r="U9" i="6"/>
  <c r="V9" i="6" s="1"/>
  <c r="N9" i="6" s="1"/>
  <c r="P9" i="6" s="1"/>
  <c r="U7" i="6"/>
  <c r="V7" i="6" s="1"/>
  <c r="N7" i="6" s="1"/>
  <c r="P7" i="6" s="1"/>
  <c r="L33" i="2"/>
  <c r="L44" i="2" s="1"/>
  <c r="B9" i="9" s="1"/>
  <c r="L43" i="2"/>
  <c r="U8" i="4"/>
  <c r="V8" i="4" s="1"/>
  <c r="N8" i="4" s="1"/>
  <c r="P8" i="4" s="1"/>
  <c r="U10" i="4"/>
  <c r="V10" i="4" s="1"/>
  <c r="N10" i="4" s="1"/>
  <c r="P10" i="4" s="1"/>
  <c r="U9" i="4"/>
  <c r="V9" i="4" s="1"/>
  <c r="N9" i="4" s="1"/>
  <c r="P9" i="4" s="1"/>
  <c r="U11" i="4"/>
  <c r="V11" i="4" s="1"/>
  <c r="N11" i="4" s="1"/>
  <c r="P11" i="4" s="1"/>
  <c r="U7" i="4"/>
  <c r="V7" i="4" s="1"/>
  <c r="N7" i="4" s="1"/>
  <c r="P7" i="4" s="1"/>
  <c r="U6" i="4"/>
  <c r="V6" i="4" s="1"/>
  <c r="N6" i="4" s="1"/>
  <c r="P6" i="4" s="1"/>
  <c r="B2" i="10"/>
  <c r="B6" i="10" s="1"/>
  <c r="L32" i="4"/>
  <c r="L31" i="4"/>
  <c r="G4" i="13"/>
  <c r="Q34" i="6"/>
  <c r="Q31" i="6" s="1"/>
  <c r="N7" i="14"/>
  <c r="N11" i="14" s="1"/>
  <c r="D5" i="9"/>
  <c r="G2" i="10"/>
  <c r="G6" i="10" s="1"/>
  <c r="Q31" i="4"/>
  <c r="Q32" i="4"/>
  <c r="F2" i="11"/>
  <c r="F6" i="11" s="1"/>
  <c r="P32" i="3"/>
  <c r="P31" i="3"/>
  <c r="D4" i="13"/>
  <c r="D6" i="13" s="1"/>
  <c r="N34" i="6"/>
  <c r="N31" i="6" s="1"/>
  <c r="T12" i="1"/>
  <c r="M32" i="1"/>
  <c r="M45" i="1" s="1"/>
  <c r="M44" i="1"/>
  <c r="O44" i="1"/>
  <c r="O32" i="1"/>
  <c r="O45" i="1" s="1"/>
  <c r="H27" i="6"/>
  <c r="G2" i="11"/>
  <c r="G6" i="11" s="1"/>
  <c r="Q31" i="3"/>
  <c r="Q32" i="3"/>
  <c r="E4" i="13"/>
  <c r="E6" i="13" s="1"/>
  <c r="O34" i="6"/>
  <c r="O31" i="6" s="1"/>
  <c r="E6" i="12"/>
  <c r="S12" i="2"/>
  <c r="M43" i="6"/>
  <c r="M33" i="6"/>
  <c r="M44" i="6" s="1"/>
  <c r="C9" i="13" s="1"/>
  <c r="U11" i="5"/>
  <c r="V11" i="5" s="1"/>
  <c r="N11" i="5" s="1"/>
  <c r="P11" i="5" s="1"/>
  <c r="U9" i="5"/>
  <c r="V9" i="5" s="1"/>
  <c r="N9" i="5" s="1"/>
  <c r="P9" i="5" s="1"/>
  <c r="U7" i="5"/>
  <c r="V7" i="5" s="1"/>
  <c r="N7" i="5" s="1"/>
  <c r="P7" i="5" s="1"/>
  <c r="U10" i="5"/>
  <c r="V10" i="5" s="1"/>
  <c r="N10" i="5" s="1"/>
  <c r="P10" i="5" s="1"/>
  <c r="U8" i="5"/>
  <c r="V8" i="5" s="1"/>
  <c r="N8" i="5" s="1"/>
  <c r="P8" i="5" s="1"/>
  <c r="U6" i="5"/>
  <c r="V6" i="5" s="1"/>
  <c r="N6" i="5" s="1"/>
  <c r="P6" i="5" s="1"/>
  <c r="B2" i="8"/>
  <c r="B6" i="8" s="1"/>
  <c r="L30" i="1"/>
  <c r="L31" i="1"/>
  <c r="D2" i="10"/>
  <c r="D6" i="10" s="1"/>
  <c r="N32" i="4"/>
  <c r="N31" i="4"/>
  <c r="O7" i="14"/>
  <c r="O11" i="14" s="1"/>
  <c r="E5" i="9"/>
  <c r="F4" i="13"/>
  <c r="P34" i="6"/>
  <c r="P31" i="6" s="1"/>
  <c r="N33" i="5"/>
  <c r="N44" i="5" s="1"/>
  <c r="D9" i="12" s="1"/>
  <c r="N43" i="5"/>
  <c r="M43" i="5"/>
  <c r="M33" i="5"/>
  <c r="M44" i="5" s="1"/>
  <c r="C9" i="12" s="1"/>
  <c r="P32" i="1"/>
  <c r="P45" i="1" s="1"/>
  <c r="P44" i="1"/>
  <c r="P33" i="5"/>
  <c r="P44" i="5" s="1"/>
  <c r="F9" i="12" s="1"/>
  <c r="P43" i="5"/>
  <c r="N44" i="1"/>
  <c r="N32" i="1"/>
  <c r="N45" i="1" s="1"/>
  <c r="C2" i="10"/>
  <c r="C6" i="10" s="1"/>
  <c r="M32" i="4"/>
  <c r="M31" i="4"/>
  <c r="I32" i="3"/>
  <c r="Q7" i="14"/>
  <c r="Q11" i="14" s="1"/>
  <c r="G5" i="9"/>
  <c r="G6" i="13"/>
  <c r="S12" i="1"/>
  <c r="E2" i="10"/>
  <c r="E6" i="10" s="1"/>
  <c r="O32" i="4"/>
  <c r="O31" i="4"/>
  <c r="S21" i="15"/>
  <c r="S22" i="15" s="1"/>
  <c r="S25" i="15" s="1"/>
  <c r="S27" i="15" s="1"/>
  <c r="S17" i="14"/>
  <c r="S22" i="14" s="1"/>
  <c r="B12" i="13" s="1"/>
  <c r="Q19" i="14"/>
  <c r="Q23" i="14" s="1"/>
  <c r="G13" i="12" s="1"/>
  <c r="G5" i="12"/>
  <c r="F6" i="13"/>
  <c r="F2" i="10"/>
  <c r="F6" i="10" s="1"/>
  <c r="P32" i="4"/>
  <c r="P31" i="4"/>
  <c r="U11" i="3"/>
  <c r="V11" i="3" s="1"/>
  <c r="N11" i="3" s="1"/>
  <c r="P11" i="3" s="1"/>
  <c r="U9" i="3"/>
  <c r="V9" i="3" s="1"/>
  <c r="N9" i="3" s="1"/>
  <c r="P9" i="3" s="1"/>
  <c r="U7" i="3"/>
  <c r="V7" i="3" s="1"/>
  <c r="N7" i="3" s="1"/>
  <c r="P7" i="3" s="1"/>
  <c r="U10" i="3"/>
  <c r="V10" i="3" s="1"/>
  <c r="N10" i="3" s="1"/>
  <c r="P10" i="3" s="1"/>
  <c r="U8" i="3"/>
  <c r="V8" i="3" s="1"/>
  <c r="N8" i="3" s="1"/>
  <c r="P8" i="3" s="1"/>
  <c r="U6" i="3"/>
  <c r="V6" i="3" s="1"/>
  <c r="N6" i="3" s="1"/>
  <c r="P6" i="3" s="1"/>
  <c r="C2" i="11"/>
  <c r="C6" i="11" s="1"/>
  <c r="M31" i="3"/>
  <c r="M32" i="3"/>
  <c r="B4" i="12"/>
  <c r="B6" i="12" s="1"/>
  <c r="L34" i="5"/>
  <c r="L31" i="5" s="1"/>
  <c r="O33" i="5"/>
  <c r="O44" i="5" s="1"/>
  <c r="E9" i="12" s="1"/>
  <c r="O43" i="5"/>
  <c r="T12" i="2"/>
  <c r="Q43" i="3" l="1"/>
  <c r="Q33" i="3"/>
  <c r="Q44" i="3" s="1"/>
  <c r="G9" i="11" s="1"/>
  <c r="H7" i="14"/>
  <c r="H11" i="14" s="1"/>
  <c r="E5" i="8"/>
  <c r="U8" i="1"/>
  <c r="V8" i="1" s="1"/>
  <c r="N8" i="1" s="1"/>
  <c r="P8" i="1" s="1"/>
  <c r="U10" i="1"/>
  <c r="V10" i="1" s="1"/>
  <c r="N10" i="1" s="1"/>
  <c r="P10" i="1" s="1"/>
  <c r="U9" i="1"/>
  <c r="V9" i="1" s="1"/>
  <c r="N9" i="1" s="1"/>
  <c r="P9" i="1" s="1"/>
  <c r="U7" i="1"/>
  <c r="V7" i="1" s="1"/>
  <c r="N7" i="1" s="1"/>
  <c r="P7" i="1" s="1"/>
  <c r="U11" i="1"/>
  <c r="V11" i="1" s="1"/>
  <c r="N11" i="1" s="1"/>
  <c r="P11" i="1" s="1"/>
  <c r="U6" i="1"/>
  <c r="V6" i="1" s="1"/>
  <c r="N6" i="1" s="1"/>
  <c r="P6" i="1" s="1"/>
  <c r="Q43" i="6"/>
  <c r="Q33" i="6"/>
  <c r="Q44" i="6" s="1"/>
  <c r="G9" i="13" s="1"/>
  <c r="C13" i="9"/>
  <c r="O33" i="3"/>
  <c r="O44" i="3" s="1"/>
  <c r="E9" i="11" s="1"/>
  <c r="O43" i="3"/>
  <c r="F14" i="9"/>
  <c r="F10" i="9"/>
  <c r="L33" i="5"/>
  <c r="L44" i="5" s="1"/>
  <c r="B9" i="12" s="1"/>
  <c r="L43" i="5"/>
  <c r="M19" i="14"/>
  <c r="M23" i="14" s="1"/>
  <c r="C5" i="12"/>
  <c r="N33" i="4"/>
  <c r="N44" i="4" s="1"/>
  <c r="D9" i="10" s="1"/>
  <c r="N43" i="4"/>
  <c r="O19" i="14"/>
  <c r="O23" i="14" s="1"/>
  <c r="E5" i="12"/>
  <c r="G14" i="9"/>
  <c r="G10" i="9"/>
  <c r="M33" i="4"/>
  <c r="M44" i="4" s="1"/>
  <c r="C9" i="10" s="1"/>
  <c r="M43" i="4"/>
  <c r="G7" i="14"/>
  <c r="G11" i="14" s="1"/>
  <c r="D5" i="8"/>
  <c r="F9" i="9"/>
  <c r="F9" i="8"/>
  <c r="E10" i="9"/>
  <c r="M43" i="3"/>
  <c r="M33" i="3"/>
  <c r="M44" i="3" s="1"/>
  <c r="C9" i="11" s="1"/>
  <c r="P43" i="4"/>
  <c r="P33" i="4"/>
  <c r="P44" i="4" s="1"/>
  <c r="F9" i="10" s="1"/>
  <c r="G14" i="12"/>
  <c r="G15" i="12" s="1"/>
  <c r="G10" i="12"/>
  <c r="G11" i="12" s="1"/>
  <c r="G13" i="9"/>
  <c r="P19" i="14"/>
  <c r="P23" i="14" s="1"/>
  <c r="F5" i="12"/>
  <c r="E13" i="9"/>
  <c r="O43" i="6"/>
  <c r="O33" i="6"/>
  <c r="O44" i="6" s="1"/>
  <c r="E9" i="13" s="1"/>
  <c r="F7" i="14"/>
  <c r="F11" i="14" s="1"/>
  <c r="C5" i="8"/>
  <c r="N33" i="6"/>
  <c r="N44" i="6" s="1"/>
  <c r="D9" i="13" s="1"/>
  <c r="N43" i="6"/>
  <c r="L43" i="3"/>
  <c r="L33" i="3"/>
  <c r="L44" i="3" s="1"/>
  <c r="B9" i="11" s="1"/>
  <c r="F15" i="9"/>
  <c r="J7" i="14"/>
  <c r="J11" i="14" s="1"/>
  <c r="G5" i="8"/>
  <c r="B4" i="13"/>
  <c r="B6" i="13" s="1"/>
  <c r="L34" i="6"/>
  <c r="L31" i="6" s="1"/>
  <c r="P33" i="6"/>
  <c r="P44" i="6" s="1"/>
  <c r="F9" i="13" s="1"/>
  <c r="P43" i="6"/>
  <c r="L32" i="1"/>
  <c r="L45" i="1" s="1"/>
  <c r="B9" i="8" s="1"/>
  <c r="L44" i="1"/>
  <c r="C9" i="9"/>
  <c r="C9" i="8"/>
  <c r="D14" i="9"/>
  <c r="D10" i="9"/>
  <c r="L43" i="4"/>
  <c r="L33" i="4"/>
  <c r="L44" i="4" s="1"/>
  <c r="B9" i="10" s="1"/>
  <c r="U10" i="2"/>
  <c r="V10" i="2" s="1"/>
  <c r="N10" i="2" s="1"/>
  <c r="P10" i="2" s="1"/>
  <c r="U8" i="2"/>
  <c r="V8" i="2" s="1"/>
  <c r="N8" i="2" s="1"/>
  <c r="P8" i="2" s="1"/>
  <c r="U6" i="2"/>
  <c r="V6" i="2" s="1"/>
  <c r="N6" i="2" s="1"/>
  <c r="P6" i="2" s="1"/>
  <c r="U11" i="2"/>
  <c r="V11" i="2" s="1"/>
  <c r="N11" i="2" s="1"/>
  <c r="P11" i="2" s="1"/>
  <c r="U9" i="2"/>
  <c r="V9" i="2" s="1"/>
  <c r="N9" i="2" s="1"/>
  <c r="P9" i="2" s="1"/>
  <c r="U7" i="2"/>
  <c r="V7" i="2" s="1"/>
  <c r="N7" i="2" s="1"/>
  <c r="P7" i="2" s="1"/>
  <c r="O33" i="4"/>
  <c r="O44" i="4" s="1"/>
  <c r="E9" i="10" s="1"/>
  <c r="O43" i="4"/>
  <c r="D9" i="9"/>
  <c r="D9" i="8"/>
  <c r="I7" i="14"/>
  <c r="I11" i="14" s="1"/>
  <c r="F5" i="8"/>
  <c r="N19" i="14"/>
  <c r="N23" i="14" s="1"/>
  <c r="D13" i="12" s="1"/>
  <c r="D5" i="12"/>
  <c r="T19" i="14"/>
  <c r="T23" i="14" s="1"/>
  <c r="C5" i="13"/>
  <c r="E9" i="8"/>
  <c r="E9" i="9"/>
  <c r="P43" i="3"/>
  <c r="P33" i="3"/>
  <c r="P44" i="3" s="1"/>
  <c r="F9" i="11" s="1"/>
  <c r="Q33" i="4"/>
  <c r="Q44" i="4" s="1"/>
  <c r="G9" i="10" s="1"/>
  <c r="Q43" i="4"/>
  <c r="D13" i="9"/>
  <c r="L7" i="14"/>
  <c r="L11" i="14" s="1"/>
  <c r="B5" i="9"/>
  <c r="C14" i="9"/>
  <c r="C10" i="9"/>
  <c r="N33" i="3"/>
  <c r="N44" i="3" s="1"/>
  <c r="D9" i="11" s="1"/>
  <c r="N43" i="3"/>
  <c r="G9" i="9"/>
  <c r="G9" i="8"/>
  <c r="D8" i="11" l="1"/>
  <c r="D11" i="9"/>
  <c r="D16" i="9" s="1"/>
  <c r="D8" i="9"/>
  <c r="L33" i="6"/>
  <c r="L44" i="6" s="1"/>
  <c r="B9" i="13" s="1"/>
  <c r="L43" i="6"/>
  <c r="T7" i="14"/>
  <c r="T11" i="14" s="1"/>
  <c r="C13" i="10" s="1"/>
  <c r="C5" i="10"/>
  <c r="G8" i="8"/>
  <c r="B14" i="9"/>
  <c r="B10" i="9"/>
  <c r="B11" i="9" s="1"/>
  <c r="B7" i="9"/>
  <c r="G8" i="10"/>
  <c r="E8" i="8"/>
  <c r="W19" i="14"/>
  <c r="W23" i="14" s="1"/>
  <c r="F5" i="13"/>
  <c r="D8" i="13"/>
  <c r="V19" i="14"/>
  <c r="V23" i="14" s="1"/>
  <c r="E5" i="13"/>
  <c r="F10" i="12"/>
  <c r="F11" i="12" s="1"/>
  <c r="W7" i="14"/>
  <c r="W11" i="14" s="1"/>
  <c r="F13" i="10" s="1"/>
  <c r="F5" i="10"/>
  <c r="F8" i="8"/>
  <c r="D8" i="10"/>
  <c r="B8" i="9"/>
  <c r="G8" i="11"/>
  <c r="C7" i="9"/>
  <c r="F10" i="8"/>
  <c r="F11" i="8" s="1"/>
  <c r="F7" i="8"/>
  <c r="B8" i="10"/>
  <c r="F8" i="13"/>
  <c r="B8" i="11"/>
  <c r="C10" i="8"/>
  <c r="C11" i="8" s="1"/>
  <c r="F13" i="12"/>
  <c r="G16" i="12"/>
  <c r="C8" i="11"/>
  <c r="E7" i="9"/>
  <c r="F11" i="9"/>
  <c r="F16" i="9" s="1"/>
  <c r="F8" i="9"/>
  <c r="C8" i="10"/>
  <c r="E14" i="12"/>
  <c r="E10" i="12"/>
  <c r="E11" i="12" s="1"/>
  <c r="C10" i="12"/>
  <c r="C11" i="12" s="1"/>
  <c r="B8" i="12"/>
  <c r="G8" i="12"/>
  <c r="H19" i="14"/>
  <c r="H23" i="14" s="1"/>
  <c r="E5" i="11"/>
  <c r="G11" i="9"/>
  <c r="G8" i="9"/>
  <c r="D15" i="9"/>
  <c r="I19" i="14"/>
  <c r="I23" i="14" s="1"/>
  <c r="F13" i="11" s="1"/>
  <c r="F5" i="11"/>
  <c r="C13" i="13"/>
  <c r="F13" i="8"/>
  <c r="F14" i="8" s="1"/>
  <c r="E8" i="10"/>
  <c r="S7" i="14"/>
  <c r="S11" i="14" s="1"/>
  <c r="B13" i="10" s="1"/>
  <c r="B5" i="10"/>
  <c r="C8" i="8"/>
  <c r="E7" i="14"/>
  <c r="E11" i="14" s="1"/>
  <c r="B13" i="8" s="1"/>
  <c r="B5" i="8"/>
  <c r="F8" i="12"/>
  <c r="G10" i="8"/>
  <c r="G11" i="8" s="1"/>
  <c r="G7" i="8"/>
  <c r="E19" i="14"/>
  <c r="E23" i="14" s="1"/>
  <c r="B13" i="11" s="1"/>
  <c r="B5" i="11"/>
  <c r="C13" i="8"/>
  <c r="C8" i="12"/>
  <c r="G15" i="9"/>
  <c r="F19" i="14"/>
  <c r="F23" i="14" s="1"/>
  <c r="C5" i="11"/>
  <c r="D10" i="8"/>
  <c r="D11" i="8" s="1"/>
  <c r="D7" i="8"/>
  <c r="G7" i="9"/>
  <c r="E13" i="12"/>
  <c r="C13" i="12"/>
  <c r="C14" i="12" s="1"/>
  <c r="F7" i="9"/>
  <c r="E8" i="11"/>
  <c r="G8" i="13"/>
  <c r="E14" i="8"/>
  <c r="E10" i="8"/>
  <c r="E11" i="8" s="1"/>
  <c r="E7" i="8"/>
  <c r="D8" i="12"/>
  <c r="L19" i="14"/>
  <c r="L23" i="14" s="1"/>
  <c r="B13" i="12" s="1"/>
  <c r="B5" i="12"/>
  <c r="E7" i="12" s="1"/>
  <c r="B13" i="9"/>
  <c r="F8" i="11"/>
  <c r="C10" i="13"/>
  <c r="C11" i="13" s="1"/>
  <c r="V7" i="14"/>
  <c r="V11" i="14" s="1"/>
  <c r="E13" i="10" s="1"/>
  <c r="E5" i="10"/>
  <c r="J19" i="14"/>
  <c r="J23" i="14" s="1"/>
  <c r="G13" i="11" s="1"/>
  <c r="G5" i="11"/>
  <c r="G19" i="14"/>
  <c r="G23" i="14" s="1"/>
  <c r="D13" i="11" s="1"/>
  <c r="D5" i="11"/>
  <c r="X7" i="14"/>
  <c r="X11" i="14" s="1"/>
  <c r="G13" i="10" s="1"/>
  <c r="G5" i="10"/>
  <c r="E8" i="9"/>
  <c r="E11" i="9"/>
  <c r="D14" i="12"/>
  <c r="D15" i="12" s="1"/>
  <c r="D10" i="12"/>
  <c r="D11" i="12" s="1"/>
  <c r="D7" i="12"/>
  <c r="D8" i="8"/>
  <c r="D7" i="9"/>
  <c r="C11" i="9"/>
  <c r="C8" i="9"/>
  <c r="B8" i="8"/>
  <c r="G13" i="8"/>
  <c r="G14" i="8" s="1"/>
  <c r="U19" i="14"/>
  <c r="U23" i="14" s="1"/>
  <c r="D5" i="13"/>
  <c r="E8" i="13"/>
  <c r="F8" i="10"/>
  <c r="E8" i="12"/>
  <c r="E14" i="9"/>
  <c r="E15" i="9" s="1"/>
  <c r="D13" i="8"/>
  <c r="U7" i="14"/>
  <c r="U11" i="14" s="1"/>
  <c r="D13" i="10" s="1"/>
  <c r="D5" i="10"/>
  <c r="C15" i="9"/>
  <c r="X19" i="14"/>
  <c r="X23" i="14" s="1"/>
  <c r="G5" i="13"/>
  <c r="E13" i="8"/>
  <c r="D16" i="8" l="1"/>
  <c r="D17" i="9" s="1"/>
  <c r="C16" i="9"/>
  <c r="E14" i="13"/>
  <c r="E10" i="13"/>
  <c r="E11" i="13" s="1"/>
  <c r="F10" i="13"/>
  <c r="F11" i="13" s="1"/>
  <c r="E15" i="8"/>
  <c r="E16" i="8" s="1"/>
  <c r="D14" i="10"/>
  <c r="D10" i="10"/>
  <c r="D11" i="10" s="1"/>
  <c r="D7" i="10"/>
  <c r="D16" i="12"/>
  <c r="G7" i="10"/>
  <c r="G14" i="10"/>
  <c r="G10" i="10"/>
  <c r="G11" i="10" s="1"/>
  <c r="G14" i="11"/>
  <c r="G15" i="11" s="1"/>
  <c r="G10" i="11"/>
  <c r="G11" i="11" s="1"/>
  <c r="G7" i="11"/>
  <c r="C13" i="11"/>
  <c r="B14" i="11"/>
  <c r="B15" i="11" s="1"/>
  <c r="B10" i="11"/>
  <c r="B11" i="11" s="1"/>
  <c r="B7" i="11"/>
  <c r="F14" i="11"/>
  <c r="F10" i="11"/>
  <c r="F11" i="11" s="1"/>
  <c r="F16" i="11" s="1"/>
  <c r="F7" i="11"/>
  <c r="G16" i="9"/>
  <c r="C14" i="8"/>
  <c r="C15" i="8" s="1"/>
  <c r="C16" i="8" s="1"/>
  <c r="F7" i="12"/>
  <c r="E13" i="13"/>
  <c r="F13" i="13"/>
  <c r="S19" i="14"/>
  <c r="S23" i="14" s="1"/>
  <c r="B13" i="13" s="1"/>
  <c r="B5" i="13"/>
  <c r="E7" i="13" s="1"/>
  <c r="D15" i="10"/>
  <c r="B15" i="9"/>
  <c r="C15" i="12"/>
  <c r="C16" i="12" s="1"/>
  <c r="F15" i="11"/>
  <c r="E10" i="11"/>
  <c r="E11" i="11" s="1"/>
  <c r="E7" i="11"/>
  <c r="B8" i="13"/>
  <c r="C8" i="13"/>
  <c r="G15" i="8"/>
  <c r="G16" i="8" s="1"/>
  <c r="C14" i="11"/>
  <c r="C10" i="11"/>
  <c r="C11" i="11" s="1"/>
  <c r="C7" i="11"/>
  <c r="G10" i="13"/>
  <c r="G11" i="13" s="1"/>
  <c r="G7" i="13"/>
  <c r="D14" i="13"/>
  <c r="D7" i="13"/>
  <c r="D10" i="13"/>
  <c r="D11" i="13" s="1"/>
  <c r="G15" i="10"/>
  <c r="G13" i="13"/>
  <c r="D15" i="8"/>
  <c r="D13" i="13"/>
  <c r="E16" i="9"/>
  <c r="D14" i="11"/>
  <c r="D15" i="11" s="1"/>
  <c r="D10" i="11"/>
  <c r="D11" i="11" s="1"/>
  <c r="D7" i="11"/>
  <c r="E7" i="10"/>
  <c r="E14" i="10"/>
  <c r="E15" i="10" s="1"/>
  <c r="E10" i="10"/>
  <c r="E11" i="10" s="1"/>
  <c r="C14" i="13"/>
  <c r="C15" i="13" s="1"/>
  <c r="C16" i="13" s="1"/>
  <c r="B14" i="12"/>
  <c r="B15" i="12" s="1"/>
  <c r="B10" i="12"/>
  <c r="B11" i="12" s="1"/>
  <c r="B7" i="12"/>
  <c r="G7" i="12"/>
  <c r="E15" i="12"/>
  <c r="E16" i="12" s="1"/>
  <c r="D14" i="8"/>
  <c r="B14" i="8"/>
  <c r="L8" i="16" s="1"/>
  <c r="B10" i="8"/>
  <c r="B11" i="8" s="1"/>
  <c r="B7" i="8"/>
  <c r="B14" i="10"/>
  <c r="B15" i="10" s="1"/>
  <c r="B10" i="10"/>
  <c r="B11" i="10" s="1"/>
  <c r="B7" i="10"/>
  <c r="F15" i="8"/>
  <c r="F16" i="8" s="1"/>
  <c r="F17" i="9" s="1"/>
  <c r="E13" i="11"/>
  <c r="E14" i="11" s="1"/>
  <c r="C7" i="12"/>
  <c r="C7" i="8"/>
  <c r="F14" i="10"/>
  <c r="F15" i="10" s="1"/>
  <c r="F10" i="10"/>
  <c r="F11" i="10" s="1"/>
  <c r="F7" i="10"/>
  <c r="F14" i="12"/>
  <c r="F15" i="12" s="1"/>
  <c r="F16" i="12" s="1"/>
  <c r="B16" i="9"/>
  <c r="C14" i="10"/>
  <c r="C15" i="10" s="1"/>
  <c r="C10" i="10"/>
  <c r="C11" i="10" s="1"/>
  <c r="C7" i="10"/>
  <c r="E17" i="9" l="1"/>
  <c r="C16" i="10"/>
  <c r="D15" i="13"/>
  <c r="B15" i="8"/>
  <c r="B16" i="8" s="1"/>
  <c r="B17" i="9" s="1"/>
  <c r="C15" i="11"/>
  <c r="G16" i="10"/>
  <c r="F14" i="13"/>
  <c r="F15" i="13" s="1"/>
  <c r="F16" i="13" s="1"/>
  <c r="F17" i="13" s="1"/>
  <c r="B16" i="10"/>
  <c r="D16" i="11"/>
  <c r="D16" i="13"/>
  <c r="E15" i="13"/>
  <c r="G17" i="9"/>
  <c r="D16" i="10"/>
  <c r="D17" i="10" s="1"/>
  <c r="C17" i="9"/>
  <c r="F17" i="11"/>
  <c r="F17" i="12" s="1"/>
  <c r="F16" i="10"/>
  <c r="F17" i="10" s="1"/>
  <c r="K15" i="16"/>
  <c r="L12" i="16"/>
  <c r="K17" i="16" s="1"/>
  <c r="K18" i="16" s="1"/>
  <c r="E16" i="10"/>
  <c r="E17" i="10" s="1"/>
  <c r="E15" i="11"/>
  <c r="E16" i="11" s="1"/>
  <c r="E17" i="11" s="1"/>
  <c r="E17" i="12" s="1"/>
  <c r="B16" i="12"/>
  <c r="G15" i="13"/>
  <c r="G16" i="13" s="1"/>
  <c r="G14" i="13"/>
  <c r="C16" i="11"/>
  <c r="B14" i="13"/>
  <c r="B15" i="13" s="1"/>
  <c r="B7" i="13"/>
  <c r="B10" i="13"/>
  <c r="B11" i="13" s="1"/>
  <c r="C7" i="13"/>
  <c r="B16" i="11"/>
  <c r="G16" i="11"/>
  <c r="F7" i="13"/>
  <c r="E16" i="13"/>
  <c r="B16" i="13" l="1"/>
  <c r="D17" i="11"/>
  <c r="D17" i="12" s="1"/>
  <c r="D17" i="13" s="1"/>
  <c r="G17" i="10"/>
  <c r="E17" i="13"/>
  <c r="B17" i="10"/>
  <c r="G17" i="11"/>
  <c r="G17" i="12" s="1"/>
  <c r="G17" i="13" s="1"/>
  <c r="B17" i="11"/>
  <c r="B17" i="12"/>
  <c r="C17" i="10"/>
  <c r="C17" i="11" s="1"/>
  <c r="C17" i="12" s="1"/>
  <c r="C17" i="13" s="1"/>
  <c r="B17" i="13" l="1"/>
</calcChain>
</file>

<file path=xl/sharedStrings.xml><?xml version="1.0" encoding="utf-8"?>
<sst xmlns="http://schemas.openxmlformats.org/spreadsheetml/2006/main" count="555" uniqueCount="115">
  <si>
    <t>Vraag totaal</t>
  </si>
  <si>
    <t>P</t>
  </si>
  <si>
    <t>K</t>
  </si>
  <si>
    <t>P/K</t>
  </si>
  <si>
    <t>marketing</t>
  </si>
  <si>
    <t>Team</t>
  </si>
  <si>
    <t>Q potentieel</t>
  </si>
  <si>
    <t>Q werkelijk</t>
  </si>
  <si>
    <t>TO potentieel</t>
  </si>
  <si>
    <t>TO werkelijk</t>
  </si>
  <si>
    <t>capaciteit</t>
  </si>
  <si>
    <t>Tekort</t>
  </si>
  <si>
    <t>gem</t>
  </si>
  <si>
    <t>Basisvraag</t>
  </si>
  <si>
    <t>Prijseffect</t>
  </si>
  <si>
    <t>Prijs</t>
  </si>
  <si>
    <t>Kwaliteitseffect</t>
  </si>
  <si>
    <t>Ingredienten</t>
  </si>
  <si>
    <t>Som</t>
  </si>
  <si>
    <t>P/K Effect</t>
  </si>
  <si>
    <t>Marketing</t>
  </si>
  <si>
    <t>Marketingeffect</t>
  </si>
  <si>
    <t>Q pot</t>
  </si>
  <si>
    <t>p</t>
  </si>
  <si>
    <t>Q werk</t>
  </si>
  <si>
    <t>TO pot</t>
  </si>
  <si>
    <t>PK effect</t>
  </si>
  <si>
    <t>TO werk</t>
  </si>
  <si>
    <t>PK 1</t>
  </si>
  <si>
    <t>Cap</t>
  </si>
  <si>
    <t>PK 2</t>
  </si>
  <si>
    <t>PK 3</t>
  </si>
  <si>
    <t>PK 4</t>
  </si>
  <si>
    <t>Q</t>
  </si>
  <si>
    <t>TO</t>
  </si>
  <si>
    <t>cap</t>
  </si>
  <si>
    <t>Q deze ronde</t>
  </si>
  <si>
    <t>prijseffect</t>
  </si>
  <si>
    <t>2e keuze vraag</t>
  </si>
  <si>
    <t>Ronde 1</t>
  </si>
  <si>
    <t>Ronde 2</t>
  </si>
  <si>
    <t>Ronde 3</t>
  </si>
  <si>
    <t>Filialen</t>
  </si>
  <si>
    <t>Scooters</t>
  </si>
  <si>
    <t>Oven</t>
  </si>
  <si>
    <t>Personeel</t>
  </si>
  <si>
    <t>Ronde 4</t>
  </si>
  <si>
    <t>Ronde 5</t>
  </si>
  <si>
    <t>Ronde 6</t>
  </si>
  <si>
    <t>Kwaliteit</t>
  </si>
  <si>
    <t>P/k verhouding</t>
  </si>
  <si>
    <t xml:space="preserve">Vraag </t>
  </si>
  <si>
    <t>Capaciteit</t>
  </si>
  <si>
    <t>Werkelijke afzet</t>
  </si>
  <si>
    <t>Bezettingsgraad</t>
  </si>
  <si>
    <t>Gem</t>
  </si>
  <si>
    <t>Omzet pizza's</t>
  </si>
  <si>
    <t>Omzet upsale</t>
  </si>
  <si>
    <t>Totale omzet</t>
  </si>
  <si>
    <t>Constante kosten</t>
  </si>
  <si>
    <t>Variabele kosten</t>
  </si>
  <si>
    <t>Schaalvoordelen</t>
  </si>
  <si>
    <t>Totale kosten</t>
  </si>
  <si>
    <t xml:space="preserve">Winst </t>
  </si>
  <si>
    <t>Omzet</t>
  </si>
  <si>
    <t>omzet upsale</t>
  </si>
  <si>
    <t>Winst</t>
  </si>
  <si>
    <t>Winst cummulatief</t>
  </si>
  <si>
    <t>Eenmalig</t>
  </si>
  <si>
    <t>Constant</t>
  </si>
  <si>
    <t>Variabel</t>
  </si>
  <si>
    <t>Gebouw</t>
  </si>
  <si>
    <t>Scooter</t>
  </si>
  <si>
    <t>Ovens</t>
  </si>
  <si>
    <t>Oven capaciteit</t>
  </si>
  <si>
    <t>Gebouw cap</t>
  </si>
  <si>
    <t>Bezorgservice</t>
  </si>
  <si>
    <t>klanten</t>
  </si>
  <si>
    <t>Onze keuzes</t>
  </si>
  <si>
    <t>Omzetprognose</t>
  </si>
  <si>
    <t>Kostenprognose</t>
  </si>
  <si>
    <t>Endogene vraag</t>
  </si>
  <si>
    <t>Filialen (1000)</t>
  </si>
  <si>
    <t>Exogene vraag</t>
  </si>
  <si>
    <t>Scooters (250)</t>
  </si>
  <si>
    <t>Totale vraag</t>
  </si>
  <si>
    <t>Ovens (100)</t>
  </si>
  <si>
    <t>Personeel (1200)</t>
  </si>
  <si>
    <t>Prijskwaliteitverhouding</t>
  </si>
  <si>
    <t>Totale omzet Upsale (potentieel)</t>
  </si>
  <si>
    <t>Totale constante kosten</t>
  </si>
  <si>
    <t>Geschatte gemiddelde P/K verhouding (alle pizzeria's)</t>
  </si>
  <si>
    <t>Totale omzet (potentieel)</t>
  </si>
  <si>
    <t>Variabele kosten pizza's</t>
  </si>
  <si>
    <t>Productiecapaciteit</t>
  </si>
  <si>
    <t>Variabele kosten upsale</t>
  </si>
  <si>
    <t>Kosten</t>
  </si>
  <si>
    <t>Max klanten filiaal</t>
  </si>
  <si>
    <t>Totale variabele kosten</t>
  </si>
  <si>
    <t>Max klanten bezorgdienst</t>
  </si>
  <si>
    <t>Maximale draagkracht</t>
  </si>
  <si>
    <t>Max klanten</t>
  </si>
  <si>
    <t>Capaciteit ovens</t>
  </si>
  <si>
    <t>Break even punt</t>
  </si>
  <si>
    <t>pizza's</t>
  </si>
  <si>
    <t>Capacitieit persooneel</t>
  </si>
  <si>
    <t>Verwachte omzet</t>
  </si>
  <si>
    <t>Maximale productie pizza's</t>
  </si>
  <si>
    <t>Max pizza's</t>
  </si>
  <si>
    <t>Verwachte kosten</t>
  </si>
  <si>
    <t>Verwachte winst</t>
  </si>
  <si>
    <t>Maximale afzet (capaciteit)</t>
  </si>
  <si>
    <t>Bezettingsgraad (verwacht)</t>
  </si>
  <si>
    <t>Verwachte afzet</t>
  </si>
  <si>
    <t>Totale omzet pizza's (potentieel)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</si>
</sst>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[$€-2]\ #,##0"/>
    <numFmt numFmtId="167" formatCode="[$€-2]\ #,##0.00"/>
    <numFmt numFmtId="168" formatCode="&quot;€&quot;#,##0"/>
  </numFmts>
  <fonts count="2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Inconsolata"/>
    </font>
    <font>
      <b/>
      <sz val="11"/>
      <color theme="1"/>
      <name val="Calibri"/>
    </font>
    <font>
      <sz val="11"/>
      <color rgb="FF1155CC"/>
      <name val="Inconsolata"/>
    </font>
    <font>
      <sz val="11"/>
      <color rgb="FFF7981D"/>
      <name val="Inconsolata"/>
    </font>
    <font>
      <sz val="11"/>
      <color rgb="FF7E3794"/>
      <name val="Inconsolata"/>
    </font>
    <font>
      <sz val="11"/>
      <color rgb="FF00FF00"/>
      <name val="Calibri"/>
    </font>
    <font>
      <b/>
      <sz val="11"/>
      <color rgb="FF00FF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FFFFFF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FF0000"/>
      <name val="Calibri"/>
    </font>
    <font>
      <i/>
      <sz val="11"/>
      <color theme="1"/>
      <name val="Calibri"/>
    </font>
    <font>
      <i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" fontId="2" fillId="0" borderId="0" xfId="0" applyNumberFormat="1" applyFont="1"/>
    <xf numFmtId="1" fontId="2" fillId="0" borderId="0" xfId="0" applyNumberFormat="1" applyFont="1" applyAlignment="1"/>
    <xf numFmtId="1" fontId="2" fillId="2" borderId="1" xfId="0" applyNumberFormat="1" applyFont="1" applyFill="1" applyBorder="1"/>
    <xf numFmtId="1" fontId="1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4" fillId="3" borderId="0" xfId="0" applyFont="1" applyFill="1" applyAlignment="1"/>
    <xf numFmtId="0" fontId="5" fillId="0" borderId="0" xfId="0" applyFont="1"/>
    <xf numFmtId="0" fontId="6" fillId="3" borderId="0" xfId="0" applyFont="1" applyFill="1"/>
    <xf numFmtId="0" fontId="1" fillId="4" borderId="0" xfId="0" applyFont="1" applyFill="1"/>
    <xf numFmtId="0" fontId="5" fillId="0" borderId="0" xfId="0" applyFont="1" applyAlignment="1"/>
    <xf numFmtId="0" fontId="1" fillId="5" borderId="0" xfId="0" applyFont="1" applyFill="1" applyAlignment="1"/>
    <xf numFmtId="0" fontId="7" fillId="3" borderId="0" xfId="0" applyFont="1" applyFill="1"/>
    <xf numFmtId="1" fontId="1" fillId="4" borderId="0" xfId="0" applyNumberFormat="1" applyFont="1" applyFill="1"/>
    <xf numFmtId="4" fontId="8" fillId="3" borderId="0" xfId="0" applyNumberFormat="1" applyFont="1" applyFill="1"/>
    <xf numFmtId="4" fontId="1" fillId="0" borderId="0" xfId="0" applyNumberFormat="1" applyFont="1"/>
    <xf numFmtId="164" fontId="1" fillId="0" borderId="0" xfId="0" applyNumberFormat="1" applyFont="1"/>
    <xf numFmtId="0" fontId="7" fillId="3" borderId="0" xfId="0" applyFont="1" applyFill="1"/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/>
    <xf numFmtId="0" fontId="3" fillId="0" borderId="0" xfId="0" applyFont="1" applyAlignment="1"/>
    <xf numFmtId="0" fontId="11" fillId="0" borderId="0" xfId="0" applyFont="1" applyAlignment="1"/>
    <xf numFmtId="1" fontId="1" fillId="0" borderId="0" xfId="0" applyNumberFormat="1" applyFont="1" applyAlignment="1"/>
    <xf numFmtId="2" fontId="1" fillId="0" borderId="0" xfId="0" applyNumberFormat="1" applyFont="1"/>
    <xf numFmtId="0" fontId="1" fillId="2" borderId="0" xfId="0" applyFont="1" applyFill="1" applyAlignment="1"/>
    <xf numFmtId="0" fontId="5" fillId="2" borderId="0" xfId="0" applyFont="1" applyFill="1" applyAlignment="1"/>
    <xf numFmtId="0" fontId="1" fillId="2" borderId="0" xfId="0" applyFont="1" applyFill="1"/>
    <xf numFmtId="0" fontId="2" fillId="2" borderId="0" xfId="0" applyFont="1" applyFill="1" applyAlignment="1"/>
    <xf numFmtId="0" fontId="5" fillId="3" borderId="0" xfId="0" applyFont="1" applyFill="1" applyAlignment="1"/>
    <xf numFmtId="0" fontId="2" fillId="3" borderId="0" xfId="0" applyFont="1" applyFill="1" applyAlignment="1"/>
    <xf numFmtId="0" fontId="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2" fillId="5" borderId="0" xfId="0" applyFont="1" applyFill="1" applyAlignment="1"/>
    <xf numFmtId="0" fontId="12" fillId="6" borderId="0" xfId="0" applyFont="1" applyFill="1" applyAlignment="1"/>
    <xf numFmtId="0" fontId="12" fillId="7" borderId="0" xfId="0" applyFont="1" applyFill="1" applyAlignment="1"/>
    <xf numFmtId="0" fontId="1" fillId="5" borderId="0" xfId="0" applyFont="1" applyFill="1"/>
    <xf numFmtId="0" fontId="1" fillId="6" borderId="0" xfId="0" applyFont="1" applyFill="1" applyAlignment="1"/>
    <xf numFmtId="0" fontId="1" fillId="6" borderId="0" xfId="0" applyFont="1" applyFill="1"/>
    <xf numFmtId="0" fontId="1" fillId="7" borderId="0" xfId="0" applyFont="1" applyFill="1" applyAlignment="1"/>
    <xf numFmtId="165" fontId="1" fillId="7" borderId="0" xfId="0" applyNumberFormat="1" applyFont="1" applyFill="1"/>
    <xf numFmtId="1" fontId="14" fillId="0" borderId="0" xfId="0" applyNumberFormat="1" applyFont="1"/>
    <xf numFmtId="9" fontId="2" fillId="0" borderId="0" xfId="0" applyNumberFormat="1" applyFont="1"/>
    <xf numFmtId="9" fontId="14" fillId="0" borderId="0" xfId="0" applyNumberFormat="1" applyFont="1"/>
    <xf numFmtId="0" fontId="15" fillId="0" borderId="0" xfId="0" applyFont="1"/>
    <xf numFmtId="0" fontId="12" fillId="5" borderId="0" xfId="0" applyFont="1" applyFill="1"/>
    <xf numFmtId="0" fontId="12" fillId="6" borderId="0" xfId="0" applyFont="1" applyFill="1"/>
    <xf numFmtId="2" fontId="12" fillId="7" borderId="0" xfId="0" applyNumberFormat="1" applyFont="1" applyFill="1"/>
    <xf numFmtId="166" fontId="2" fillId="0" borderId="0" xfId="0" applyNumberFormat="1" applyFont="1"/>
    <xf numFmtId="166" fontId="14" fillId="0" borderId="0" xfId="0" applyNumberFormat="1" applyFont="1"/>
    <xf numFmtId="0" fontId="12" fillId="0" borderId="0" xfId="0" applyFont="1" applyAlignment="1"/>
    <xf numFmtId="166" fontId="5" fillId="0" borderId="0" xfId="0" applyNumberFormat="1" applyFont="1"/>
    <xf numFmtId="166" fontId="11" fillId="0" borderId="0" xfId="0" applyNumberFormat="1" applyFont="1"/>
    <xf numFmtId="166" fontId="1" fillId="0" borderId="0" xfId="0" applyNumberFormat="1" applyFont="1"/>
    <xf numFmtId="166" fontId="3" fillId="0" borderId="0" xfId="0" applyNumberFormat="1" applyFont="1"/>
    <xf numFmtId="1" fontId="16" fillId="0" borderId="0" xfId="0" applyNumberFormat="1" applyFont="1" applyAlignment="1"/>
    <xf numFmtId="166" fontId="2" fillId="0" borderId="0" xfId="0" applyNumberFormat="1" applyFont="1" applyAlignment="1">
      <alignment horizontal="right"/>
    </xf>
    <xf numFmtId="0" fontId="16" fillId="0" borderId="0" xfId="0" applyFont="1" applyAlignment="1"/>
    <xf numFmtId="166" fontId="12" fillId="0" borderId="0" xfId="0" applyNumberFormat="1" applyFont="1"/>
    <xf numFmtId="166" fontId="17" fillId="0" borderId="0" xfId="0" applyNumberFormat="1" applyFont="1"/>
    <xf numFmtId="0" fontId="5" fillId="2" borderId="1" xfId="0" applyFont="1" applyFill="1" applyBorder="1" applyAlignment="1"/>
    <xf numFmtId="166" fontId="5" fillId="2" borderId="1" xfId="0" applyNumberFormat="1" applyFont="1" applyFill="1" applyBorder="1"/>
    <xf numFmtId="166" fontId="11" fillId="2" borderId="1" xfId="0" applyNumberFormat="1" applyFont="1" applyFill="1" applyBorder="1"/>
    <xf numFmtId="0" fontId="5" fillId="6" borderId="1" xfId="0" applyFont="1" applyFill="1" applyBorder="1"/>
    <xf numFmtId="166" fontId="5" fillId="6" borderId="1" xfId="0" applyNumberFormat="1" applyFont="1" applyFill="1" applyBorder="1"/>
    <xf numFmtId="166" fontId="1" fillId="6" borderId="0" xfId="0" applyNumberFormat="1" applyFont="1" applyFill="1" applyAlignment="1"/>
    <xf numFmtId="165" fontId="12" fillId="7" borderId="0" xfId="0" applyNumberFormat="1" applyFont="1" applyFill="1"/>
    <xf numFmtId="1" fontId="5" fillId="0" borderId="0" xfId="0" applyNumberFormat="1" applyFont="1"/>
    <xf numFmtId="1" fontId="12" fillId="0" borderId="0" xfId="0" applyNumberFormat="1" applyFont="1"/>
    <xf numFmtId="1" fontId="5" fillId="6" borderId="1" xfId="0" applyNumberFormat="1" applyFont="1" applyFill="1" applyBorder="1"/>
    <xf numFmtId="1" fontId="1" fillId="6" borderId="0" xfId="0" applyNumberFormat="1" applyFont="1" applyFill="1" applyAlignment="1"/>
    <xf numFmtId="1" fontId="8" fillId="3" borderId="0" xfId="0" applyNumberFormat="1" applyFont="1" applyFill="1"/>
    <xf numFmtId="0" fontId="8" fillId="3" borderId="0" xfId="0" applyFont="1" applyFill="1"/>
    <xf numFmtId="1" fontId="18" fillId="0" borderId="0" xfId="0" applyNumberFormat="1" applyFont="1"/>
    <xf numFmtId="0" fontId="18" fillId="0" borderId="0" xfId="0" applyFont="1"/>
    <xf numFmtId="0" fontId="12" fillId="8" borderId="0" xfId="0" applyFont="1" applyFill="1" applyAlignment="1"/>
    <xf numFmtId="0" fontId="1" fillId="8" borderId="0" xfId="0" applyFont="1" applyFill="1"/>
    <xf numFmtId="0" fontId="17" fillId="9" borderId="0" xfId="0" applyFont="1" applyFill="1" applyAlignment="1"/>
    <xf numFmtId="0" fontId="3" fillId="9" borderId="0" xfId="0" applyFont="1" applyFill="1"/>
    <xf numFmtId="0" fontId="1" fillId="3" borderId="0" xfId="0" applyFont="1" applyFill="1" applyAlignment="1"/>
    <xf numFmtId="0" fontId="1" fillId="8" borderId="0" xfId="0" applyFont="1" applyFill="1" applyAlignment="1"/>
    <xf numFmtId="1" fontId="1" fillId="8" borderId="0" xfId="0" applyNumberFormat="1" applyFont="1" applyFill="1"/>
    <xf numFmtId="0" fontId="3" fillId="9" borderId="0" xfId="0" applyFont="1" applyFill="1" applyAlignment="1"/>
    <xf numFmtId="167" fontId="3" fillId="9" borderId="0" xfId="0" applyNumberFormat="1" applyFont="1" applyFill="1"/>
    <xf numFmtId="0" fontId="1" fillId="3" borderId="0" xfId="0" applyFont="1" applyFill="1"/>
    <xf numFmtId="167" fontId="3" fillId="9" borderId="0" xfId="0" applyNumberFormat="1" applyFont="1" applyFill="1" applyAlignment="1"/>
    <xf numFmtId="0" fontId="15" fillId="3" borderId="0" xfId="0" applyFont="1" applyFill="1"/>
    <xf numFmtId="1" fontId="12" fillId="6" borderId="0" xfId="0" applyNumberFormat="1" applyFont="1" applyFill="1"/>
    <xf numFmtId="0" fontId="15" fillId="3" borderId="0" xfId="0" applyFont="1" applyFill="1" applyAlignment="1"/>
    <xf numFmtId="0" fontId="12" fillId="9" borderId="0" xfId="0" applyFont="1" applyFill="1" applyAlignment="1"/>
    <xf numFmtId="0" fontId="1" fillId="9" borderId="0" xfId="0" applyFont="1" applyFill="1"/>
    <xf numFmtId="166" fontId="1" fillId="9" borderId="0" xfId="0" applyNumberFormat="1" applyFont="1" applyFill="1"/>
    <xf numFmtId="0" fontId="1" fillId="9" borderId="0" xfId="0" applyFont="1" applyFill="1" applyAlignment="1"/>
    <xf numFmtId="167" fontId="1" fillId="9" borderId="0" xfId="0" applyNumberFormat="1" applyFont="1" applyFill="1"/>
    <xf numFmtId="0" fontId="1" fillId="0" borderId="0" xfId="0" applyFont="1" applyAlignment="1"/>
    <xf numFmtId="0" fontId="17" fillId="6" borderId="0" xfId="0" applyFont="1" applyFill="1" applyAlignment="1"/>
    <xf numFmtId="0" fontId="17" fillId="6" borderId="0" xfId="0" applyFont="1" applyFill="1"/>
    <xf numFmtId="166" fontId="17" fillId="6" borderId="0" xfId="0" applyNumberFormat="1" applyFont="1" applyFill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3" borderId="0" xfId="0" applyFont="1" applyFill="1" applyAlignment="1"/>
    <xf numFmtId="168" fontId="20" fillId="0" borderId="0" xfId="0" applyNumberFormat="1" applyFont="1" applyAlignment="1"/>
    <xf numFmtId="167" fontId="1" fillId="9" borderId="0" xfId="0" applyNumberFormat="1" applyFont="1" applyFill="1" applyAlignment="1"/>
    <xf numFmtId="0" fontId="12" fillId="8" borderId="0" xfId="0" applyFont="1" applyFill="1"/>
    <xf numFmtId="1" fontId="1" fillId="6" borderId="0" xfId="0" applyNumberFormat="1" applyFont="1" applyFill="1"/>
    <xf numFmtId="166" fontId="1" fillId="6" borderId="0" xfId="0" applyNumberFormat="1" applyFont="1" applyFill="1"/>
    <xf numFmtId="167" fontId="1" fillId="6" borderId="0" xfId="0" applyNumberFormat="1" applyFont="1" applyFill="1"/>
    <xf numFmtId="0" fontId="3" fillId="6" borderId="0" xfId="0" applyFont="1" applyFill="1"/>
    <xf numFmtId="10" fontId="1" fillId="6" borderId="0" xfId="0" applyNumberFormat="1" applyFont="1" applyFill="1"/>
    <xf numFmtId="0" fontId="1" fillId="10" borderId="0" xfId="0" applyFont="1" applyFill="1" applyAlignment="1"/>
    <xf numFmtId="0" fontId="1" fillId="10" borderId="0" xfId="0" applyFont="1" applyFill="1"/>
    <xf numFmtId="166" fontId="1" fillId="10" borderId="0" xfId="0" applyNumberFormat="1" applyFont="1" applyFill="1"/>
    <xf numFmtId="0" fontId="5" fillId="9" borderId="0" xfId="0" applyFont="1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(afzet)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6890-41FE-8288-8155DEE5835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1'!$B$1:$G$1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1'!$B$7:$G$7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90-41FE-8288-8155DEE5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(omzet)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F0A0-452B-9F15-3EA36ED16D2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5'!$B$1:$G$1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5'!$B$8:$G$8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0-452B-9F15-3EA36ED1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(afzet)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7DEA-4526-B3DD-3317206655C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6'!$B$1:$G$1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6'!$B$7:$G$7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A-4526-B3DD-33172066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(omzet)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2722-491C-A06F-BB42EF3E97C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6'!$B$1:$G$1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6'!$B$8:$G$8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2-491C-A06F-BB42EF3E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(omzet)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0A96-4975-9608-270469E234B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1'!$B$1:$G$1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1'!$B$8:$G$8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96-4975-9608-270469E23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(afzet)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F363-45C2-A393-6F22240D903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2'!$B$1:$G$1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2'!$B$7:$G$7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5C2-A393-6F22240D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(omzet)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8C87-45A0-8D90-3E1796FB560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2'!$B$1:$G$1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2'!$B$8:$G$8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7-45A0-8D90-3E1796FB5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(afzet)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0D8C-49B4-8143-D8AD926B935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3'!$B$1:$G$1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3'!$B$7:$G$7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8C-49B4-8143-D8AD926B9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(omzet)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6140-45F2-B8A8-A31B9ED6D18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3'!$B$1:$G$1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3'!$B$8:$G$8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0-45F2-B8A8-A31B9ED6D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(afzet)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5ACE-4D4B-B334-9E532F2CBE8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4'!$B$1:$G$1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4'!$B$7:$G$7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CE-4D4B-B334-9E532F2CB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(omzet)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BE2A-4C12-B438-746A8C11EE4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4'!$B$1:$G$1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4'!$B$8:$G$8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A-4C12-B438-746A8C11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Marktaandeel (afzet)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EB6B-41AC-82D8-F744FA0DBC5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'Uitkomst ronde 5'!$B$1:$G$1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'Uitkomst ronde 5'!$B$7:$G$7</c:f>
              <c:numCache>
                <c:formatCode>General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B-41AC-82D8-F744FA0D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</xdr:row>
      <xdr:rowOff>171450</xdr:rowOff>
    </xdr:from>
    <xdr:ext cx="2667000" cy="1647825"/>
    <xdr:graphicFrame macro="">
      <xdr:nvGraphicFramePr>
        <xdr:cNvPr id="2" name="Chart 1" title="Diagra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295275</xdr:colOff>
      <xdr:row>8</xdr:row>
      <xdr:rowOff>171450</xdr:rowOff>
    </xdr:from>
    <xdr:ext cx="2667000" cy="1647825"/>
    <xdr:graphicFrame macro="">
      <xdr:nvGraphicFramePr>
        <xdr:cNvPr id="3" name="Chart 2" title="Diagram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</xdr:row>
      <xdr:rowOff>171450</xdr:rowOff>
    </xdr:from>
    <xdr:ext cx="2667000" cy="1647825"/>
    <xdr:graphicFrame macro="">
      <xdr:nvGraphicFramePr>
        <xdr:cNvPr id="3" name="Chart 3" title="Diagram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295275</xdr:colOff>
      <xdr:row>8</xdr:row>
      <xdr:rowOff>171450</xdr:rowOff>
    </xdr:from>
    <xdr:ext cx="2667000" cy="1647825"/>
    <xdr:graphicFrame macro="">
      <xdr:nvGraphicFramePr>
        <xdr:cNvPr id="4" name="Chart 4" title="Diagram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</xdr:row>
      <xdr:rowOff>171450</xdr:rowOff>
    </xdr:from>
    <xdr:ext cx="2667000" cy="1647825"/>
    <xdr:graphicFrame macro="">
      <xdr:nvGraphicFramePr>
        <xdr:cNvPr id="5" name="Chart 5" title="Diagram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295275</xdr:colOff>
      <xdr:row>8</xdr:row>
      <xdr:rowOff>171450</xdr:rowOff>
    </xdr:from>
    <xdr:ext cx="2667000" cy="1647825"/>
    <xdr:graphicFrame macro="">
      <xdr:nvGraphicFramePr>
        <xdr:cNvPr id="6" name="Chart 6" title="Diagram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</xdr:row>
      <xdr:rowOff>171450</xdr:rowOff>
    </xdr:from>
    <xdr:ext cx="2667000" cy="1647825"/>
    <xdr:graphicFrame macro="">
      <xdr:nvGraphicFramePr>
        <xdr:cNvPr id="7" name="Chart 7" title="Diagram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295275</xdr:colOff>
      <xdr:row>8</xdr:row>
      <xdr:rowOff>171450</xdr:rowOff>
    </xdr:from>
    <xdr:ext cx="2667000" cy="1647825"/>
    <xdr:graphicFrame macro="">
      <xdr:nvGraphicFramePr>
        <xdr:cNvPr id="8" name="Chart 8" title="Diagram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</xdr:row>
      <xdr:rowOff>171450</xdr:rowOff>
    </xdr:from>
    <xdr:ext cx="2667000" cy="1647825"/>
    <xdr:graphicFrame macro="">
      <xdr:nvGraphicFramePr>
        <xdr:cNvPr id="9" name="Chart 9" title="Diagram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295275</xdr:colOff>
      <xdr:row>8</xdr:row>
      <xdr:rowOff>171450</xdr:rowOff>
    </xdr:from>
    <xdr:ext cx="2667000" cy="1647825"/>
    <xdr:graphicFrame macro="">
      <xdr:nvGraphicFramePr>
        <xdr:cNvPr id="10" name="Chart 10" title="Diagram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</xdr:row>
      <xdr:rowOff>171450</xdr:rowOff>
    </xdr:from>
    <xdr:ext cx="2667000" cy="1647825"/>
    <xdr:graphicFrame macro="">
      <xdr:nvGraphicFramePr>
        <xdr:cNvPr id="11" name="Chart 11" title="Diagram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295275</xdr:colOff>
      <xdr:row>8</xdr:row>
      <xdr:rowOff>171450</xdr:rowOff>
    </xdr:from>
    <xdr:ext cx="2667000" cy="1647825"/>
    <xdr:graphicFrame macro="">
      <xdr:nvGraphicFramePr>
        <xdr:cNvPr id="12" name="Chart 12" title="Diagram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O23"/>
  <sheetViews>
    <sheetView tabSelected="1" workbookViewId="0">
      <selection activeCell="F6" sqref="F6"/>
    </sheetView>
  </sheetViews>
  <sheetFormatPr defaultColWidth="12.625" defaultRowHeight="15" customHeight="1"/>
  <cols>
    <col min="3" max="3" width="28.125" customWidth="1"/>
    <col min="5" max="5" width="4.375" customWidth="1"/>
    <col min="6" max="6" width="23.125" customWidth="1"/>
    <col min="7" max="7" width="11.625" customWidth="1"/>
    <col min="9" max="9" width="3.375" customWidth="1"/>
    <col min="10" max="10" width="19" customWidth="1"/>
    <col min="12" max="12" width="19" customWidth="1"/>
  </cols>
  <sheetData>
    <row r="1" spans="1:15">
      <c r="B1" s="10"/>
    </row>
    <row r="2" spans="1:15">
      <c r="B2" s="13" t="s">
        <v>78</v>
      </c>
      <c r="F2" s="79" t="s">
        <v>79</v>
      </c>
      <c r="G2" s="80"/>
      <c r="H2" s="80"/>
      <c r="J2" s="81" t="s">
        <v>80</v>
      </c>
      <c r="K2" s="82"/>
      <c r="L2" s="82"/>
    </row>
    <row r="3" spans="1:15">
      <c r="A3" s="83" t="s">
        <v>15</v>
      </c>
      <c r="B3" s="29">
        <v>6</v>
      </c>
      <c r="E3" s="32"/>
      <c r="F3" s="84" t="s">
        <v>81</v>
      </c>
      <c r="G3" s="85">
        <f>MAX(0,'QV en TO ronde 1'!L25)</f>
        <v>1609.375</v>
      </c>
      <c r="H3" s="80"/>
      <c r="J3" s="86" t="s">
        <v>82</v>
      </c>
      <c r="K3" s="87">
        <f>B12*Kosten!C5</f>
        <v>1000</v>
      </c>
      <c r="L3" s="82"/>
    </row>
    <row r="4" spans="1:15">
      <c r="A4" s="88" t="s">
        <v>17</v>
      </c>
      <c r="B4" s="28">
        <v>2</v>
      </c>
      <c r="E4" s="83"/>
      <c r="F4" s="84" t="s">
        <v>83</v>
      </c>
      <c r="G4" s="85">
        <f>(6000*E5)+(((100/6/100))*5)+1000</f>
        <v>1000.8333333333334</v>
      </c>
      <c r="H4" s="80"/>
      <c r="J4" s="86" t="s">
        <v>84</v>
      </c>
      <c r="K4" s="89">
        <f>B13*Kosten!C6</f>
        <v>0</v>
      </c>
      <c r="L4" s="82"/>
    </row>
    <row r="5" spans="1:15">
      <c r="E5" s="90">
        <f>(E6-(100/6/100))*5</f>
        <v>0</v>
      </c>
      <c r="F5" s="38" t="s">
        <v>85</v>
      </c>
      <c r="G5" s="91"/>
      <c r="H5" s="91">
        <f>MAX(0,G3+G4)</f>
        <v>2610.2083333333335</v>
      </c>
      <c r="J5" s="86" t="s">
        <v>86</v>
      </c>
      <c r="K5" s="87">
        <f>B14*Kosten!C3</f>
        <v>100</v>
      </c>
      <c r="L5" s="82"/>
    </row>
    <row r="6" spans="1:15">
      <c r="E6" s="92">
        <f>E7/E8</f>
        <v>0.16666666666666669</v>
      </c>
      <c r="F6" s="116" t="s">
        <v>114</v>
      </c>
      <c r="G6" s="94"/>
      <c r="H6" s="95">
        <f>H5*B3</f>
        <v>15661.25</v>
      </c>
      <c r="J6" s="86" t="s">
        <v>87</v>
      </c>
      <c r="K6" s="87">
        <f>B15*Kosten!C4</f>
        <v>3600</v>
      </c>
      <c r="L6" s="82"/>
    </row>
    <row r="7" spans="1:15">
      <c r="A7" s="88"/>
      <c r="B7" s="54" t="s">
        <v>88</v>
      </c>
      <c r="D7" s="35">
        <f>B3/(2*B4)</f>
        <v>1.5</v>
      </c>
      <c r="E7" s="48">
        <f>1/D7</f>
        <v>0.66666666666666663</v>
      </c>
      <c r="F7" s="96" t="s">
        <v>89</v>
      </c>
      <c r="G7" s="94"/>
      <c r="H7" s="97">
        <f>H5*1.5</f>
        <v>3915.3125</v>
      </c>
      <c r="J7" s="81" t="s">
        <v>90</v>
      </c>
      <c r="K7" s="82"/>
      <c r="L7" s="87">
        <f>SUM(K3:K6)</f>
        <v>4700</v>
      </c>
    </row>
    <row r="8" spans="1:15">
      <c r="B8" s="98" t="s">
        <v>91</v>
      </c>
      <c r="D8" s="28">
        <v>1.5</v>
      </c>
      <c r="E8" s="48">
        <f>(1/D7)+((1/D8)*5)</f>
        <v>3.9999999999999996</v>
      </c>
      <c r="F8" s="99" t="s">
        <v>92</v>
      </c>
      <c r="G8" s="100"/>
      <c r="H8" s="101">
        <f>H6+H7</f>
        <v>19576.5625</v>
      </c>
      <c r="J8" s="96" t="s">
        <v>61</v>
      </c>
      <c r="K8" s="94"/>
      <c r="L8" s="97">
        <f>MAX(0,('Uitkomst Ronde 1'!B14))</f>
        <v>0</v>
      </c>
    </row>
    <row r="9" spans="1:15">
      <c r="J9" s="96" t="s">
        <v>93</v>
      </c>
      <c r="K9" s="97">
        <f>B4*G22</f>
        <v>3000</v>
      </c>
      <c r="L9" s="94"/>
      <c r="O9" s="8"/>
    </row>
    <row r="10" spans="1:15">
      <c r="D10" s="8"/>
      <c r="F10" s="79" t="s">
        <v>94</v>
      </c>
      <c r="G10" s="80"/>
      <c r="H10" s="80"/>
      <c r="J10" s="96" t="s">
        <v>95</v>
      </c>
      <c r="K10" s="97">
        <f>0.5*G22</f>
        <v>750</v>
      </c>
      <c r="L10" s="94"/>
      <c r="O10" s="8"/>
    </row>
    <row r="11" spans="1:15">
      <c r="C11" s="102" t="s">
        <v>52</v>
      </c>
      <c r="D11" s="103" t="s">
        <v>96</v>
      </c>
      <c r="F11" s="84" t="s">
        <v>97</v>
      </c>
      <c r="G11" s="80">
        <f t="shared" ref="G11:G12" si="0">B12*C12</f>
        <v>3000</v>
      </c>
      <c r="H11" s="80"/>
      <c r="J11" s="81" t="s">
        <v>98</v>
      </c>
      <c r="K11" s="82"/>
      <c r="L11" s="87">
        <f>K9+K10</f>
        <v>3750</v>
      </c>
      <c r="O11" s="8"/>
    </row>
    <row r="12" spans="1:15">
      <c r="A12" s="83" t="s">
        <v>42</v>
      </c>
      <c r="B12" s="28">
        <v>1</v>
      </c>
      <c r="C12" s="104">
        <v>3000</v>
      </c>
      <c r="D12" s="105">
        <v>1000</v>
      </c>
      <c r="F12" s="84" t="s">
        <v>99</v>
      </c>
      <c r="G12" s="80">
        <f t="shared" si="0"/>
        <v>0</v>
      </c>
      <c r="H12" s="80"/>
      <c r="J12" s="93" t="s">
        <v>62</v>
      </c>
      <c r="K12" s="94"/>
      <c r="L12" s="106">
        <f>L7+L11-L8</f>
        <v>8450</v>
      </c>
      <c r="O12" s="8"/>
    </row>
    <row r="13" spans="1:15">
      <c r="A13" s="88" t="s">
        <v>43</v>
      </c>
      <c r="B13" s="28">
        <v>0</v>
      </c>
      <c r="C13" s="104">
        <v>500</v>
      </c>
      <c r="D13" s="105">
        <v>250</v>
      </c>
      <c r="F13" s="79" t="s">
        <v>100</v>
      </c>
      <c r="G13" s="79" t="s">
        <v>101</v>
      </c>
      <c r="H13" s="107">
        <f>G11+G12</f>
        <v>3000</v>
      </c>
      <c r="O13" s="8"/>
    </row>
    <row r="14" spans="1:15">
      <c r="A14" s="83" t="s">
        <v>73</v>
      </c>
      <c r="B14" s="28">
        <v>1</v>
      </c>
      <c r="C14" s="104">
        <v>2000</v>
      </c>
      <c r="D14" s="105">
        <v>100</v>
      </c>
      <c r="F14" s="80"/>
      <c r="G14" s="80"/>
      <c r="H14" s="80"/>
      <c r="O14" s="8"/>
    </row>
    <row r="15" spans="1:15">
      <c r="A15" s="88" t="s">
        <v>45</v>
      </c>
      <c r="B15" s="28">
        <v>3</v>
      </c>
      <c r="C15" s="104">
        <v>500</v>
      </c>
      <c r="D15" s="105">
        <v>1200</v>
      </c>
      <c r="F15" s="84" t="s">
        <v>102</v>
      </c>
      <c r="G15" s="80">
        <f t="shared" ref="G15:G16" si="1">B14*C14</f>
        <v>2000</v>
      </c>
      <c r="H15" s="80"/>
      <c r="J15" s="41" t="s">
        <v>103</v>
      </c>
      <c r="K15" s="108">
        <f>(L7-L8)/((B3+1.5)-B4)</f>
        <v>854.5454545454545</v>
      </c>
      <c r="L15" s="41" t="s">
        <v>104</v>
      </c>
      <c r="O15" s="8"/>
    </row>
    <row r="16" spans="1:15">
      <c r="C16" s="8"/>
      <c r="D16" s="8"/>
      <c r="F16" s="84" t="s">
        <v>105</v>
      </c>
      <c r="G16" s="80">
        <f t="shared" si="1"/>
        <v>1500</v>
      </c>
      <c r="H16" s="80"/>
      <c r="J16" s="41" t="s">
        <v>106</v>
      </c>
      <c r="K16" s="109">
        <f>G23</f>
        <v>11250</v>
      </c>
      <c r="L16" s="42"/>
      <c r="O16" s="8"/>
    </row>
    <row r="17" spans="3:12">
      <c r="C17" s="8"/>
      <c r="D17" s="8"/>
      <c r="F17" s="79" t="s">
        <v>107</v>
      </c>
      <c r="G17" s="79" t="s">
        <v>108</v>
      </c>
      <c r="H17" s="107">
        <f>MIN(G15:G16)</f>
        <v>1500</v>
      </c>
      <c r="J17" s="41" t="s">
        <v>109</v>
      </c>
      <c r="K17" s="110">
        <f>L12</f>
        <v>8450</v>
      </c>
      <c r="L17" s="42"/>
    </row>
    <row r="18" spans="3:12">
      <c r="C18" s="8"/>
      <c r="D18" s="8"/>
      <c r="F18" s="80"/>
      <c r="G18" s="80"/>
      <c r="H18" s="80"/>
      <c r="J18" s="41" t="s">
        <v>110</v>
      </c>
      <c r="K18" s="109">
        <f>K16-K17</f>
        <v>2800</v>
      </c>
      <c r="L18" s="111"/>
    </row>
    <row r="19" spans="3:12">
      <c r="F19" s="38" t="s">
        <v>111</v>
      </c>
      <c r="G19" s="42"/>
      <c r="H19" s="50">
        <f>MIN(H13,H17)</f>
        <v>1500</v>
      </c>
    </row>
    <row r="20" spans="3:12">
      <c r="F20" s="38" t="s">
        <v>112</v>
      </c>
      <c r="G20" s="112">
        <f>H5/H19</f>
        <v>1.7401388888888889</v>
      </c>
      <c r="H20" s="42"/>
    </row>
    <row r="22" spans="3:12">
      <c r="F22" s="113" t="s">
        <v>113</v>
      </c>
      <c r="G22" s="114">
        <f>MIN(H19,H5)</f>
        <v>1500</v>
      </c>
      <c r="H22" s="114"/>
    </row>
    <row r="23" spans="3:12">
      <c r="F23" s="113" t="s">
        <v>106</v>
      </c>
      <c r="G23" s="115">
        <f>G22*(B3+1.5)</f>
        <v>11250</v>
      </c>
      <c r="H23" s="1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5"/>
  <sheetViews>
    <sheetView workbookViewId="0"/>
  </sheetViews>
  <sheetFormatPr defaultColWidth="12.625" defaultRowHeight="15" customHeight="1"/>
  <cols>
    <col min="1" max="1" width="15.125" customWidth="1"/>
    <col min="2" max="9" width="7.625" customWidth="1"/>
    <col min="10" max="10" width="9.25" customWidth="1"/>
    <col min="11" max="14" width="7.625" customWidth="1"/>
    <col min="15" max="15" width="10.5" customWidth="1"/>
    <col min="16" max="16" width="12.25" customWidth="1"/>
    <col min="17" max="26" width="7.625" customWidth="1"/>
  </cols>
  <sheetData>
    <row r="1" spans="1:26" ht="14.25" customHeight="1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I1" s="37" t="s">
        <v>5</v>
      </c>
      <c r="J1" s="37" t="s">
        <v>15</v>
      </c>
      <c r="L1" s="38" t="s">
        <v>5</v>
      </c>
      <c r="M1" s="38" t="s">
        <v>49</v>
      </c>
      <c r="O1" s="39" t="s">
        <v>5</v>
      </c>
      <c r="P1" s="39" t="s">
        <v>50</v>
      </c>
    </row>
    <row r="2" spans="1:26" ht="14.25" customHeight="1">
      <c r="A2" s="2" t="s">
        <v>51</v>
      </c>
      <c r="B2" s="6">
        <f>'QV en TO ronde 2'!L30</f>
        <v>2609.375</v>
      </c>
      <c r="C2" s="6">
        <f>'QV en TO ronde 2'!M30</f>
        <v>2609.375</v>
      </c>
      <c r="D2" s="6">
        <f>'QV en TO ronde 2'!N30</f>
        <v>2609.375</v>
      </c>
      <c r="E2" s="6">
        <f>'QV en TO ronde 2'!O30</f>
        <v>2609.375</v>
      </c>
      <c r="F2" s="6">
        <f>'QV en TO ronde 2'!P30</f>
        <v>2609.375</v>
      </c>
      <c r="G2" s="6">
        <f>'QV en TO ronde 2'!Q30</f>
        <v>2609.375</v>
      </c>
      <c r="I2" s="14">
        <v>1</v>
      </c>
      <c r="J2" s="40">
        <f>'QV en TO ronde 2'!B6</f>
        <v>6</v>
      </c>
      <c r="L2" s="41">
        <v>1</v>
      </c>
      <c r="M2" s="42">
        <f>'QV en TO ronde 2'!C6</f>
        <v>4</v>
      </c>
      <c r="O2" s="43">
        <v>1</v>
      </c>
      <c r="P2" s="44">
        <f>'QV en TO ronde 2'!D6</f>
        <v>1.5</v>
      </c>
    </row>
    <row r="3" spans="1:26" ht="14.25" customHeight="1">
      <c r="B3" s="6"/>
      <c r="C3" s="6"/>
      <c r="D3" s="6"/>
      <c r="E3" s="6"/>
      <c r="F3" s="6"/>
      <c r="G3" s="6"/>
      <c r="I3" s="14">
        <v>2</v>
      </c>
      <c r="J3" s="40">
        <f>'QV en TO ronde 2'!B7</f>
        <v>6</v>
      </c>
      <c r="L3" s="41">
        <v>2</v>
      </c>
      <c r="M3" s="42">
        <f>'QV en TO ronde 2'!C7</f>
        <v>4</v>
      </c>
      <c r="O3" s="43">
        <v>2</v>
      </c>
      <c r="P3" s="44">
        <f>'QV en TO ronde 2'!D7</f>
        <v>1.5</v>
      </c>
    </row>
    <row r="4" spans="1:26" ht="14.25" customHeight="1">
      <c r="A4" s="1" t="s">
        <v>52</v>
      </c>
      <c r="B4" s="1">
        <f>Capaciteit!K13</f>
        <v>1500</v>
      </c>
      <c r="C4" s="1">
        <f>Capaciteit!L13</f>
        <v>1500</v>
      </c>
      <c r="D4" s="1">
        <f>Capaciteit!M13</f>
        <v>1500</v>
      </c>
      <c r="E4" s="1">
        <f>Capaciteit!N13</f>
        <v>1500</v>
      </c>
      <c r="F4" s="1">
        <f>Capaciteit!O13</f>
        <v>1500</v>
      </c>
      <c r="G4" s="1">
        <f>Capaciteit!P13</f>
        <v>1500</v>
      </c>
      <c r="I4" s="14">
        <v>3</v>
      </c>
      <c r="J4" s="40">
        <f>'QV en TO ronde 2'!B8</f>
        <v>6</v>
      </c>
      <c r="L4" s="41">
        <v>3</v>
      </c>
      <c r="M4" s="42">
        <f>'QV en TO ronde 2'!C8</f>
        <v>4</v>
      </c>
      <c r="O4" s="43">
        <v>3</v>
      </c>
      <c r="P4" s="44">
        <f>'QV en TO ronde 2'!D8</f>
        <v>1.5</v>
      </c>
    </row>
    <row r="5" spans="1:26" ht="14.25" customHeight="1">
      <c r="A5" s="2" t="s">
        <v>53</v>
      </c>
      <c r="B5" s="3">
        <f>'QV en TO ronde 2'!L43</f>
        <v>1500</v>
      </c>
      <c r="C5" s="3">
        <f>'QV en TO ronde 2'!M43</f>
        <v>1500</v>
      </c>
      <c r="D5" s="3">
        <f>'QV en TO ronde 2'!N43</f>
        <v>1500</v>
      </c>
      <c r="E5" s="3">
        <f>'QV en TO ronde 2'!O43</f>
        <v>1500</v>
      </c>
      <c r="F5" s="3">
        <f>'QV en TO ronde 2'!P43</f>
        <v>1500</v>
      </c>
      <c r="G5" s="3">
        <f>'QV en TO ronde 2'!Q43</f>
        <v>1500</v>
      </c>
      <c r="I5" s="14">
        <v>4</v>
      </c>
      <c r="J5" s="40">
        <f>'QV en TO ronde 2'!B9</f>
        <v>6</v>
      </c>
      <c r="L5" s="41">
        <v>4</v>
      </c>
      <c r="M5" s="42">
        <f>'QV en TO ronde 2'!C9</f>
        <v>4</v>
      </c>
      <c r="O5" s="43">
        <v>4</v>
      </c>
      <c r="P5" s="44">
        <f>'QV en TO ronde 2'!D9</f>
        <v>1.5</v>
      </c>
    </row>
    <row r="6" spans="1:26" ht="14.25" customHeight="1">
      <c r="A6" s="1" t="s">
        <v>54</v>
      </c>
      <c r="B6" s="46">
        <f t="shared" ref="B6:G6" si="0">B2/B4</f>
        <v>1.7395833333333333</v>
      </c>
      <c r="C6" s="46">
        <f t="shared" si="0"/>
        <v>1.7395833333333333</v>
      </c>
      <c r="D6" s="46">
        <f t="shared" si="0"/>
        <v>1.7395833333333333</v>
      </c>
      <c r="E6" s="46">
        <f t="shared" si="0"/>
        <v>1.7395833333333333</v>
      </c>
      <c r="F6" s="46">
        <f t="shared" si="0"/>
        <v>1.7395833333333333</v>
      </c>
      <c r="G6" s="46">
        <f t="shared" si="0"/>
        <v>1.7395833333333333</v>
      </c>
      <c r="I6" s="14">
        <v>5</v>
      </c>
      <c r="J6" s="40">
        <f>'QV en TO ronde 2'!B10</f>
        <v>6</v>
      </c>
      <c r="L6" s="41">
        <v>5</v>
      </c>
      <c r="M6" s="42">
        <f>'QV en TO ronde 2'!C10</f>
        <v>4</v>
      </c>
      <c r="O6" s="43">
        <v>5</v>
      </c>
      <c r="P6" s="44">
        <f>'QV en TO ronde 2'!D10</f>
        <v>1.5</v>
      </c>
    </row>
    <row r="7" spans="1:26" ht="14.25" customHeight="1">
      <c r="B7" s="48">
        <f t="shared" ref="B7:G7" si="1">B5/(SUM($B5:$G5))</f>
        <v>0.16666666666666666</v>
      </c>
      <c r="C7" s="48">
        <f t="shared" si="1"/>
        <v>0.16666666666666666</v>
      </c>
      <c r="D7" s="48">
        <f t="shared" si="1"/>
        <v>0.16666666666666666</v>
      </c>
      <c r="E7" s="48">
        <f t="shared" si="1"/>
        <v>0.16666666666666666</v>
      </c>
      <c r="F7" s="48">
        <f t="shared" si="1"/>
        <v>0.16666666666666666</v>
      </c>
      <c r="G7" s="48">
        <f t="shared" si="1"/>
        <v>0.16666666666666666</v>
      </c>
      <c r="I7" s="14">
        <v>6</v>
      </c>
      <c r="J7" s="40">
        <f>'QV en TO ronde 2'!B11</f>
        <v>6</v>
      </c>
      <c r="L7" s="41">
        <v>6</v>
      </c>
      <c r="M7" s="42">
        <f>'QV en TO ronde 2'!C11</f>
        <v>4</v>
      </c>
      <c r="O7" s="43">
        <v>6</v>
      </c>
      <c r="P7" s="44">
        <f>'QV en TO ronde 2'!D11</f>
        <v>1.5</v>
      </c>
    </row>
    <row r="8" spans="1:26" ht="14.25" customHeight="1">
      <c r="B8" s="48">
        <f t="shared" ref="B8:G8" si="2">B9/(SUM($B9:$G9))</f>
        <v>0.16666666666666666</v>
      </c>
      <c r="C8" s="48">
        <f t="shared" si="2"/>
        <v>0.16666666666666666</v>
      </c>
      <c r="D8" s="48">
        <f t="shared" si="2"/>
        <v>0.16666666666666666</v>
      </c>
      <c r="E8" s="48">
        <f t="shared" si="2"/>
        <v>0.16666666666666666</v>
      </c>
      <c r="F8" s="48">
        <f t="shared" si="2"/>
        <v>0.16666666666666666</v>
      </c>
      <c r="G8" s="48">
        <f t="shared" si="2"/>
        <v>0.16666666666666666</v>
      </c>
      <c r="I8" s="37" t="s">
        <v>55</v>
      </c>
      <c r="J8" s="49">
        <f>AVERAGE(J2:J7)</f>
        <v>6</v>
      </c>
      <c r="K8" s="35"/>
      <c r="L8" s="38" t="s">
        <v>55</v>
      </c>
      <c r="M8" s="50">
        <f>AVERAGE(M2:M7)</f>
        <v>4</v>
      </c>
      <c r="N8" s="35"/>
      <c r="O8" s="39" t="s">
        <v>55</v>
      </c>
      <c r="P8" s="51">
        <f>AVERAGE(P2:P7)</f>
        <v>1.5</v>
      </c>
    </row>
    <row r="9" spans="1:26" ht="14.25" customHeight="1">
      <c r="A9" s="1" t="s">
        <v>64</v>
      </c>
      <c r="B9" s="52">
        <f>'QV en TO ronde 2'!L44</f>
        <v>9000</v>
      </c>
      <c r="C9" s="52">
        <f>'QV en TO ronde 1'!M45</f>
        <v>9000</v>
      </c>
      <c r="D9" s="52">
        <f>'QV en TO ronde 1'!N45</f>
        <v>9000</v>
      </c>
      <c r="E9" s="52">
        <f>'QV en TO ronde 1'!O45</f>
        <v>9000</v>
      </c>
      <c r="F9" s="52">
        <f>'QV en TO ronde 1'!P45</f>
        <v>9000</v>
      </c>
      <c r="G9" s="52">
        <f>'QV en TO ronde 1'!Q45</f>
        <v>9000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>
      <c r="A10" s="2" t="s">
        <v>65</v>
      </c>
      <c r="B10" s="52">
        <f t="shared" ref="B10:G10" si="3">B5*1.5</f>
        <v>2250</v>
      </c>
      <c r="C10" s="52">
        <f t="shared" si="3"/>
        <v>2250</v>
      </c>
      <c r="D10" s="52">
        <f t="shared" si="3"/>
        <v>2250</v>
      </c>
      <c r="E10" s="52">
        <f t="shared" si="3"/>
        <v>2250</v>
      </c>
      <c r="F10" s="52">
        <f t="shared" si="3"/>
        <v>2250</v>
      </c>
      <c r="G10" s="52">
        <f t="shared" si="3"/>
        <v>2250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54" t="s">
        <v>58</v>
      </c>
      <c r="B11" s="55">
        <f t="shared" ref="B11:G11" si="4">B9+B10</f>
        <v>11250</v>
      </c>
      <c r="C11" s="55">
        <f t="shared" si="4"/>
        <v>11250</v>
      </c>
      <c r="D11" s="55">
        <f t="shared" si="4"/>
        <v>11250</v>
      </c>
      <c r="E11" s="55">
        <f t="shared" si="4"/>
        <v>11250</v>
      </c>
      <c r="F11" s="55">
        <f t="shared" si="4"/>
        <v>11250</v>
      </c>
      <c r="G11" s="55">
        <f t="shared" si="4"/>
        <v>11250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1" t="s">
        <v>59</v>
      </c>
      <c r="B12" s="57">
        <f>Kosten!L10</f>
        <v>4700</v>
      </c>
      <c r="C12" s="57">
        <f>Kosten!M10</f>
        <v>4700</v>
      </c>
      <c r="D12" s="57">
        <f>Kosten!N10</f>
        <v>4700</v>
      </c>
      <c r="E12" s="57">
        <f>Kosten!O10</f>
        <v>4700</v>
      </c>
      <c r="F12" s="57">
        <f>Kosten!P10</f>
        <v>4700</v>
      </c>
      <c r="G12" s="57">
        <f>Kosten!Q10</f>
        <v>4700</v>
      </c>
    </row>
    <row r="13" spans="1:26" ht="14.25" customHeight="1">
      <c r="A13" s="1" t="s">
        <v>60</v>
      </c>
      <c r="B13" s="57">
        <f>Kosten!L11+0.5*B5</f>
        <v>3750</v>
      </c>
      <c r="C13" s="57">
        <f>Kosten!M11+0.5*C5</f>
        <v>3750</v>
      </c>
      <c r="D13" s="57">
        <f>Kosten!N11+0.5*D5</f>
        <v>3750</v>
      </c>
      <c r="E13" s="57">
        <f>Kosten!O11+0.5*E5</f>
        <v>3750</v>
      </c>
      <c r="F13" s="57">
        <f>Kosten!P11+0.5*F5</f>
        <v>3750</v>
      </c>
      <c r="G13" s="57">
        <f>Kosten!Q11+0.5*G5</f>
        <v>3750</v>
      </c>
    </row>
    <row r="14" spans="1:26" ht="14.25" customHeight="1">
      <c r="A14" s="59" t="s">
        <v>61</v>
      </c>
      <c r="B14" s="60">
        <f t="shared" ref="B14:G14" si="5">MAX(0,(((B5/3000)-1)/15)*(B12+B13))</f>
        <v>0</v>
      </c>
      <c r="C14" s="60">
        <f t="shared" si="5"/>
        <v>0</v>
      </c>
      <c r="D14" s="60">
        <f t="shared" si="5"/>
        <v>0</v>
      </c>
      <c r="E14" s="60">
        <f t="shared" si="5"/>
        <v>0</v>
      </c>
      <c r="F14" s="60">
        <f t="shared" si="5"/>
        <v>0</v>
      </c>
      <c r="G14" s="60">
        <f t="shared" si="5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 customHeight="1">
      <c r="A15" s="35" t="s">
        <v>62</v>
      </c>
      <c r="B15" s="62">
        <f t="shared" ref="B15:G15" si="6">B12+B13-B14</f>
        <v>8450</v>
      </c>
      <c r="C15" s="62">
        <f t="shared" si="6"/>
        <v>8450</v>
      </c>
      <c r="D15" s="62">
        <f t="shared" si="6"/>
        <v>8450</v>
      </c>
      <c r="E15" s="62">
        <f t="shared" si="6"/>
        <v>8450</v>
      </c>
      <c r="F15" s="62">
        <f t="shared" si="6"/>
        <v>8450</v>
      </c>
      <c r="G15" s="62">
        <f t="shared" si="6"/>
        <v>8450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67" t="s">
        <v>66</v>
      </c>
      <c r="B16" s="68">
        <f t="shared" ref="B16:G16" si="7">B11-B15</f>
        <v>2800</v>
      </c>
      <c r="C16" s="68">
        <f t="shared" si="7"/>
        <v>2800</v>
      </c>
      <c r="D16" s="68">
        <f t="shared" si="7"/>
        <v>2800</v>
      </c>
      <c r="E16" s="68">
        <f t="shared" si="7"/>
        <v>2800</v>
      </c>
      <c r="F16" s="68">
        <f t="shared" si="7"/>
        <v>2800</v>
      </c>
      <c r="G16" s="68">
        <f t="shared" si="7"/>
        <v>2800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7" ht="14.25" customHeight="1">
      <c r="A17" s="38" t="s">
        <v>67</v>
      </c>
      <c r="B17" s="69">
        <f>B16+'Uitkomst Ronde 1'!B16</f>
        <v>5600</v>
      </c>
      <c r="C17" s="69">
        <f>C16+'Uitkomst Ronde 1'!C16</f>
        <v>5600</v>
      </c>
      <c r="D17" s="69">
        <f>D16+'Uitkomst Ronde 1'!D16</f>
        <v>5600</v>
      </c>
      <c r="E17" s="69">
        <f>E16+'Uitkomst Ronde 1'!E16</f>
        <v>5600</v>
      </c>
      <c r="F17" s="69">
        <f>F16+'Uitkomst Ronde 1'!F16</f>
        <v>5600</v>
      </c>
      <c r="G17" s="69">
        <f>G16+'Uitkomst Ronde 1'!G16</f>
        <v>5600</v>
      </c>
    </row>
    <row r="18" spans="1:7" ht="14.25" customHeight="1"/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4"/>
  <sheetViews>
    <sheetView workbookViewId="0"/>
  </sheetViews>
  <sheetFormatPr defaultColWidth="12.625" defaultRowHeight="15" customHeight="1"/>
  <cols>
    <col min="1" max="1" width="13.375" customWidth="1"/>
    <col min="2" max="9" width="7.625" customWidth="1"/>
    <col min="10" max="10" width="9.25" customWidth="1"/>
    <col min="11" max="14" width="7.625" customWidth="1"/>
    <col min="15" max="15" width="10.5" customWidth="1"/>
    <col min="16" max="16" width="12.25" customWidth="1"/>
    <col min="17" max="26" width="7.625" customWidth="1"/>
  </cols>
  <sheetData>
    <row r="1" spans="1:26" ht="14.25" customHeight="1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I1" s="37" t="s">
        <v>5</v>
      </c>
      <c r="J1" s="37" t="s">
        <v>15</v>
      </c>
      <c r="L1" s="38" t="s">
        <v>5</v>
      </c>
      <c r="M1" s="38" t="s">
        <v>49</v>
      </c>
      <c r="O1" s="39" t="s">
        <v>5</v>
      </c>
      <c r="P1" s="39" t="s">
        <v>50</v>
      </c>
    </row>
    <row r="2" spans="1:26" ht="14.25" customHeight="1">
      <c r="A2" s="2" t="s">
        <v>51</v>
      </c>
      <c r="B2" s="6">
        <f>'QV en TO ronde 3'!L30</f>
        <v>2609.375</v>
      </c>
      <c r="C2" s="6">
        <f>'QV en TO ronde 3'!M30</f>
        <v>2609.375</v>
      </c>
      <c r="D2" s="6">
        <f>'QV en TO ronde 3'!N30</f>
        <v>2609.375</v>
      </c>
      <c r="E2" s="6">
        <f>'QV en TO ronde 3'!O30</f>
        <v>2609.375</v>
      </c>
      <c r="F2" s="6">
        <f>'QV en TO ronde 3'!P30</f>
        <v>2609.375</v>
      </c>
      <c r="G2" s="6">
        <f>'QV en TO ronde 3'!Q30</f>
        <v>2609.375</v>
      </c>
      <c r="I2" s="14">
        <v>1</v>
      </c>
      <c r="J2" s="40">
        <f>'QV en TO ronde 3'!B6</f>
        <v>6</v>
      </c>
      <c r="L2" s="41">
        <v>1</v>
      </c>
      <c r="M2" s="42">
        <f>'QV en TO ronde 3'!C6</f>
        <v>4</v>
      </c>
      <c r="O2" s="43">
        <v>1</v>
      </c>
      <c r="P2" s="44">
        <f>'QV en TO ronde 3'!D6</f>
        <v>1.5</v>
      </c>
    </row>
    <row r="3" spans="1:26" ht="14.25" customHeight="1">
      <c r="B3" s="6"/>
      <c r="C3" s="6"/>
      <c r="D3" s="6"/>
      <c r="E3" s="6"/>
      <c r="F3" s="6"/>
      <c r="G3" s="6"/>
      <c r="I3" s="14">
        <v>2</v>
      </c>
      <c r="J3" s="40">
        <f>'QV en TO ronde 3'!B7</f>
        <v>6</v>
      </c>
      <c r="L3" s="41">
        <v>2</v>
      </c>
      <c r="M3" s="42">
        <f>'QV en TO ronde 3'!C7</f>
        <v>4</v>
      </c>
      <c r="O3" s="43">
        <v>2</v>
      </c>
      <c r="P3" s="44">
        <f>'QV en TO ronde 3'!D7</f>
        <v>1.5</v>
      </c>
    </row>
    <row r="4" spans="1:26" ht="14.25" customHeight="1">
      <c r="A4" s="1" t="s">
        <v>52</v>
      </c>
      <c r="B4" s="1">
        <f>Capaciteit!S13</f>
        <v>1500</v>
      </c>
      <c r="C4" s="1">
        <f>Capaciteit!T13</f>
        <v>1500</v>
      </c>
      <c r="D4" s="1">
        <f>Capaciteit!U13</f>
        <v>1500</v>
      </c>
      <c r="E4" s="1">
        <f>Capaciteit!V13</f>
        <v>1500</v>
      </c>
      <c r="F4" s="1">
        <f>Capaciteit!W13</f>
        <v>1500</v>
      </c>
      <c r="G4" s="1">
        <f>Capaciteit!X13</f>
        <v>1500</v>
      </c>
      <c r="I4" s="14">
        <v>3</v>
      </c>
      <c r="J4" s="40">
        <f>'QV en TO ronde 3'!B8</f>
        <v>6</v>
      </c>
      <c r="L4" s="41">
        <v>3</v>
      </c>
      <c r="M4" s="42">
        <f>'QV en TO ronde 3'!C8</f>
        <v>4</v>
      </c>
      <c r="O4" s="43">
        <v>3</v>
      </c>
      <c r="P4" s="44">
        <f>'QV en TO ronde 3'!D8</f>
        <v>1.5</v>
      </c>
    </row>
    <row r="5" spans="1:26" ht="14.25" customHeight="1">
      <c r="A5" s="2" t="s">
        <v>53</v>
      </c>
      <c r="B5" s="3">
        <f>'QV en TO ronde 3'!L43</f>
        <v>1500</v>
      </c>
      <c r="C5" s="3">
        <f>'QV en TO ronde 3'!M43</f>
        <v>1500</v>
      </c>
      <c r="D5" s="3">
        <f>'QV en TO ronde 3'!N43</f>
        <v>1500</v>
      </c>
      <c r="E5" s="3">
        <f>'QV en TO ronde 3'!O43</f>
        <v>1500</v>
      </c>
      <c r="F5" s="3">
        <f>'QV en TO ronde 3'!P43</f>
        <v>1500</v>
      </c>
      <c r="G5" s="3">
        <f>'QV en TO ronde 3'!Q43</f>
        <v>1500</v>
      </c>
      <c r="I5" s="14">
        <v>4</v>
      </c>
      <c r="J5" s="40">
        <f>'QV en TO ronde 3'!B9</f>
        <v>6</v>
      </c>
      <c r="L5" s="41">
        <v>4</v>
      </c>
      <c r="M5" s="42">
        <f>'QV en TO ronde 3'!C9</f>
        <v>4</v>
      </c>
      <c r="O5" s="43">
        <v>4</v>
      </c>
      <c r="P5" s="44">
        <f>'QV en TO ronde 3'!D9</f>
        <v>1.5</v>
      </c>
    </row>
    <row r="6" spans="1:26" ht="14.25" customHeight="1">
      <c r="A6" s="1" t="s">
        <v>54</v>
      </c>
      <c r="B6" s="46">
        <f t="shared" ref="B6:G6" si="0">B2/B4</f>
        <v>1.7395833333333333</v>
      </c>
      <c r="C6" s="46">
        <f t="shared" si="0"/>
        <v>1.7395833333333333</v>
      </c>
      <c r="D6" s="46">
        <f t="shared" si="0"/>
        <v>1.7395833333333333</v>
      </c>
      <c r="E6" s="46">
        <f t="shared" si="0"/>
        <v>1.7395833333333333</v>
      </c>
      <c r="F6" s="46">
        <f t="shared" si="0"/>
        <v>1.7395833333333333</v>
      </c>
      <c r="G6" s="46">
        <f t="shared" si="0"/>
        <v>1.7395833333333333</v>
      </c>
      <c r="I6" s="14">
        <v>5</v>
      </c>
      <c r="J6" s="40">
        <f>'QV en TO ronde 3'!B10</f>
        <v>6</v>
      </c>
      <c r="L6" s="41">
        <v>5</v>
      </c>
      <c r="M6" s="42">
        <f>'QV en TO ronde 3'!C10</f>
        <v>4</v>
      </c>
      <c r="O6" s="43">
        <v>5</v>
      </c>
      <c r="P6" s="44">
        <f>'QV en TO ronde 3'!D10</f>
        <v>1.5</v>
      </c>
    </row>
    <row r="7" spans="1:26" ht="14.25" customHeight="1">
      <c r="B7" s="48">
        <f t="shared" ref="B7:G7" si="1">B5/(SUM($B5:$G5))</f>
        <v>0.16666666666666666</v>
      </c>
      <c r="C7" s="48">
        <f t="shared" si="1"/>
        <v>0.16666666666666666</v>
      </c>
      <c r="D7" s="48">
        <f t="shared" si="1"/>
        <v>0.16666666666666666</v>
      </c>
      <c r="E7" s="48">
        <f t="shared" si="1"/>
        <v>0.16666666666666666</v>
      </c>
      <c r="F7" s="48">
        <f t="shared" si="1"/>
        <v>0.16666666666666666</v>
      </c>
      <c r="G7" s="48">
        <f t="shared" si="1"/>
        <v>0.16666666666666666</v>
      </c>
      <c r="I7" s="14">
        <v>6</v>
      </c>
      <c r="J7" s="40">
        <f>'QV en TO ronde 3'!B11</f>
        <v>6</v>
      </c>
      <c r="L7" s="41">
        <v>6</v>
      </c>
      <c r="M7" s="42">
        <f>'QV en TO ronde 3'!C11</f>
        <v>4</v>
      </c>
      <c r="O7" s="43">
        <v>6</v>
      </c>
      <c r="P7" s="44">
        <f>'QV en TO ronde 3'!D11</f>
        <v>1.5</v>
      </c>
    </row>
    <row r="8" spans="1:26" ht="14.25" customHeight="1">
      <c r="B8" s="48">
        <f t="shared" ref="B8:G8" si="2">B9/(SUM($B9:$G9))</f>
        <v>0.16666666666666666</v>
      </c>
      <c r="C8" s="48">
        <f t="shared" si="2"/>
        <v>0.16666666666666666</v>
      </c>
      <c r="D8" s="48">
        <f t="shared" si="2"/>
        <v>0.16666666666666666</v>
      </c>
      <c r="E8" s="48">
        <f t="shared" si="2"/>
        <v>0.16666666666666666</v>
      </c>
      <c r="F8" s="48">
        <f t="shared" si="2"/>
        <v>0.16666666666666666</v>
      </c>
      <c r="G8" s="48">
        <f t="shared" si="2"/>
        <v>0.16666666666666666</v>
      </c>
      <c r="I8" s="37" t="s">
        <v>55</v>
      </c>
      <c r="J8" s="49">
        <f>AVERAGE(J2:J7)</f>
        <v>6</v>
      </c>
      <c r="K8" s="35"/>
      <c r="L8" s="38" t="s">
        <v>55</v>
      </c>
      <c r="M8" s="50">
        <f>AVERAGE(M2:M7)</f>
        <v>4</v>
      </c>
      <c r="N8" s="35"/>
      <c r="O8" s="39" t="s">
        <v>55</v>
      </c>
      <c r="P8" s="70">
        <f>AVERAGE(P2:P7)</f>
        <v>1.5</v>
      </c>
    </row>
    <row r="9" spans="1:26" ht="14.25" customHeight="1">
      <c r="A9" s="35" t="s">
        <v>64</v>
      </c>
      <c r="B9" s="71">
        <f>'QV en TO ronde 3'!L44</f>
        <v>9000</v>
      </c>
      <c r="C9" s="71">
        <f>'QV en TO ronde 3'!M44</f>
        <v>9000</v>
      </c>
      <c r="D9" s="71">
        <f>'QV en TO ronde 3'!N44</f>
        <v>9000</v>
      </c>
      <c r="E9" s="71">
        <f>'QV en TO ronde 3'!O44</f>
        <v>9000</v>
      </c>
      <c r="F9" s="71">
        <f>'QV en TO ronde 3'!P44</f>
        <v>9000</v>
      </c>
      <c r="G9" s="71">
        <f>'QV en TO ronde 3'!Q44</f>
        <v>9000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>
      <c r="A10" s="2" t="s">
        <v>57</v>
      </c>
      <c r="B10" s="3">
        <f t="shared" ref="B10:G10" si="3">1.5*B5</f>
        <v>2250</v>
      </c>
      <c r="C10" s="3">
        <f t="shared" si="3"/>
        <v>2250</v>
      </c>
      <c r="D10" s="3">
        <f t="shared" si="3"/>
        <v>2250</v>
      </c>
      <c r="E10" s="3">
        <f t="shared" si="3"/>
        <v>2250</v>
      </c>
      <c r="F10" s="3">
        <f t="shared" si="3"/>
        <v>2250</v>
      </c>
      <c r="G10" s="3">
        <f t="shared" si="3"/>
        <v>2250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54" t="s">
        <v>58</v>
      </c>
      <c r="B11" s="71">
        <f t="shared" ref="B11:G11" si="4">B9+B10</f>
        <v>11250</v>
      </c>
      <c r="C11" s="71">
        <f t="shared" si="4"/>
        <v>11250</v>
      </c>
      <c r="D11" s="71">
        <f t="shared" si="4"/>
        <v>11250</v>
      </c>
      <c r="E11" s="71">
        <f t="shared" si="4"/>
        <v>11250</v>
      </c>
      <c r="F11" s="71">
        <f t="shared" si="4"/>
        <v>11250</v>
      </c>
      <c r="G11" s="71">
        <f t="shared" si="4"/>
        <v>11250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1" t="s">
        <v>59</v>
      </c>
      <c r="B12" s="6">
        <f>Kosten!S10</f>
        <v>4700</v>
      </c>
      <c r="C12" s="6">
        <f>Kosten!T10</f>
        <v>4700</v>
      </c>
      <c r="D12" s="6">
        <f>Kosten!U10</f>
        <v>4700</v>
      </c>
      <c r="E12" s="6">
        <f>Kosten!V10</f>
        <v>4700</v>
      </c>
      <c r="F12" s="6">
        <f>Kosten!W10</f>
        <v>4700</v>
      </c>
      <c r="G12" s="6">
        <f>Kosten!X10</f>
        <v>4700</v>
      </c>
    </row>
    <row r="13" spans="1:26" ht="14.25" customHeight="1">
      <c r="A13" s="1" t="s">
        <v>60</v>
      </c>
      <c r="B13" s="6">
        <f>Kosten!S11+0.5*B5</f>
        <v>3750</v>
      </c>
      <c r="C13" s="6">
        <f>Kosten!T11+0.5*C5</f>
        <v>3750</v>
      </c>
      <c r="D13" s="6">
        <f>Kosten!U11+0.5*D5</f>
        <v>3750</v>
      </c>
      <c r="E13" s="6">
        <f>Kosten!V11+0.5*E5</f>
        <v>3750</v>
      </c>
      <c r="F13" s="6">
        <f>Kosten!W11+0.5*F5</f>
        <v>3750</v>
      </c>
      <c r="G13" s="6">
        <f>Kosten!X11+0.5*G5</f>
        <v>3750</v>
      </c>
    </row>
    <row r="14" spans="1:26" ht="14.25" customHeight="1">
      <c r="A14" s="59" t="s">
        <v>61</v>
      </c>
      <c r="B14" s="60">
        <f t="shared" ref="B14:G14" si="5">MAX(0,(((B5/3000)-1)/15)*(B12+B13))</f>
        <v>0</v>
      </c>
      <c r="C14" s="60">
        <f t="shared" si="5"/>
        <v>0</v>
      </c>
      <c r="D14" s="60">
        <f t="shared" si="5"/>
        <v>0</v>
      </c>
      <c r="E14" s="60">
        <f t="shared" si="5"/>
        <v>0</v>
      </c>
      <c r="F14" s="60">
        <f t="shared" si="5"/>
        <v>0</v>
      </c>
      <c r="G14" s="60">
        <f t="shared" si="5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 customHeight="1">
      <c r="A15" s="35" t="s">
        <v>62</v>
      </c>
      <c r="B15" s="72">
        <f t="shared" ref="B15:G15" si="6">B12+B13-B14</f>
        <v>8450</v>
      </c>
      <c r="C15" s="72">
        <f t="shared" si="6"/>
        <v>8450</v>
      </c>
      <c r="D15" s="72">
        <f t="shared" si="6"/>
        <v>8450</v>
      </c>
      <c r="E15" s="72">
        <f t="shared" si="6"/>
        <v>8450</v>
      </c>
      <c r="F15" s="72">
        <f t="shared" si="6"/>
        <v>8450</v>
      </c>
      <c r="G15" s="72">
        <f t="shared" si="6"/>
        <v>8450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67" t="s">
        <v>66</v>
      </c>
      <c r="B16" s="73">
        <f t="shared" ref="B16:G16" si="7">B11-B15</f>
        <v>2800</v>
      </c>
      <c r="C16" s="73">
        <f t="shared" si="7"/>
        <v>2800</v>
      </c>
      <c r="D16" s="73">
        <f t="shared" si="7"/>
        <v>2800</v>
      </c>
      <c r="E16" s="73">
        <f t="shared" si="7"/>
        <v>2800</v>
      </c>
      <c r="F16" s="73">
        <f t="shared" si="7"/>
        <v>2800</v>
      </c>
      <c r="G16" s="73">
        <f t="shared" si="7"/>
        <v>2800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7" ht="14.25" customHeight="1">
      <c r="A17" s="38" t="s">
        <v>67</v>
      </c>
      <c r="B17" s="74">
        <f>B16+'Uitkomst Ronde 2'!B17</f>
        <v>8400</v>
      </c>
      <c r="C17" s="74">
        <f>C16+'Uitkomst Ronde 2'!C17</f>
        <v>8400</v>
      </c>
      <c r="D17" s="74">
        <f>D16+'Uitkomst Ronde 2'!D17</f>
        <v>8400</v>
      </c>
      <c r="E17" s="74">
        <f>E16+'Uitkomst Ronde 2'!E17</f>
        <v>8400</v>
      </c>
      <c r="F17" s="74">
        <f>F16+'Uitkomst Ronde 2'!F17</f>
        <v>8400</v>
      </c>
      <c r="G17" s="74">
        <f>G16+'Uitkomst Ronde 2'!G17</f>
        <v>8400</v>
      </c>
    </row>
    <row r="18" spans="1:7" ht="14.25" customHeight="1"/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4"/>
  <sheetViews>
    <sheetView workbookViewId="0"/>
  </sheetViews>
  <sheetFormatPr defaultColWidth="12.625" defaultRowHeight="15" customHeight="1"/>
  <cols>
    <col min="1" max="1" width="13.375" customWidth="1"/>
    <col min="2" max="9" width="7.625" customWidth="1"/>
    <col min="10" max="10" width="9.25" customWidth="1"/>
    <col min="11" max="14" width="7.625" customWidth="1"/>
    <col min="15" max="15" width="10.5" customWidth="1"/>
    <col min="16" max="16" width="12.25" customWidth="1"/>
    <col min="17" max="26" width="7.625" customWidth="1"/>
  </cols>
  <sheetData>
    <row r="1" spans="1:26" ht="14.25" customHeight="1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I1" s="37" t="s">
        <v>5</v>
      </c>
      <c r="J1" s="37" t="s">
        <v>15</v>
      </c>
      <c r="L1" s="38" t="s">
        <v>5</v>
      </c>
      <c r="M1" s="38" t="s">
        <v>49</v>
      </c>
      <c r="O1" s="39" t="s">
        <v>5</v>
      </c>
      <c r="P1" s="39" t="s">
        <v>50</v>
      </c>
    </row>
    <row r="2" spans="1:26" ht="14.25" customHeight="1">
      <c r="A2" s="2" t="s">
        <v>51</v>
      </c>
      <c r="B2" s="6">
        <f>'QV en TO ronde 4'!L30</f>
        <v>2609.375</v>
      </c>
      <c r="C2" s="6">
        <f>'QV en TO ronde 4'!M30</f>
        <v>2609.375</v>
      </c>
      <c r="D2" s="6">
        <f>'QV en TO ronde 4'!N30</f>
        <v>2609.375</v>
      </c>
      <c r="E2" s="6">
        <f>'QV en TO ronde 4'!O30</f>
        <v>2609.375</v>
      </c>
      <c r="F2" s="6">
        <f>'QV en TO ronde 4'!P30</f>
        <v>2609.375</v>
      </c>
      <c r="G2" s="6">
        <f>'QV en TO ronde 4'!Q30</f>
        <v>2609.375</v>
      </c>
      <c r="I2" s="14">
        <v>1</v>
      </c>
      <c r="J2" s="40">
        <f>'QV en TO ronde 4'!B6</f>
        <v>6</v>
      </c>
      <c r="L2" s="41">
        <v>1</v>
      </c>
      <c r="M2" s="42">
        <f>'QV en TO ronde 4'!C6</f>
        <v>4</v>
      </c>
      <c r="O2" s="43">
        <v>1</v>
      </c>
      <c r="P2" s="44">
        <f>'QV en TO ronde 4'!D6</f>
        <v>1.5</v>
      </c>
    </row>
    <row r="3" spans="1:26" ht="14.25" customHeight="1">
      <c r="B3" s="6"/>
      <c r="C3" s="6"/>
      <c r="D3" s="6"/>
      <c r="E3" s="6"/>
      <c r="F3" s="6"/>
      <c r="G3" s="6"/>
      <c r="I3" s="14">
        <v>2</v>
      </c>
      <c r="J3" s="40">
        <f>'QV en TO ronde 4'!B7</f>
        <v>6</v>
      </c>
      <c r="L3" s="41">
        <v>2</v>
      </c>
      <c r="M3" s="42">
        <f>'QV en TO ronde 4'!C7</f>
        <v>4</v>
      </c>
      <c r="O3" s="43">
        <v>2</v>
      </c>
      <c r="P3" s="44">
        <f>'QV en TO ronde 4'!D7</f>
        <v>1.5</v>
      </c>
    </row>
    <row r="4" spans="1:26" ht="14.25" customHeight="1">
      <c r="A4" s="1" t="s">
        <v>52</v>
      </c>
      <c r="B4" s="1">
        <f>Capaciteit!C27</f>
        <v>1500</v>
      </c>
      <c r="C4" s="1">
        <f>Capaciteit!D27</f>
        <v>1500</v>
      </c>
      <c r="D4" s="1">
        <f>Capaciteit!E27</f>
        <v>1500</v>
      </c>
      <c r="E4" s="1">
        <f>Capaciteit!F27</f>
        <v>1500</v>
      </c>
      <c r="F4" s="1">
        <f>Capaciteit!G27</f>
        <v>1500</v>
      </c>
      <c r="G4" s="1">
        <f>Capaciteit!H27</f>
        <v>1500</v>
      </c>
      <c r="I4" s="14">
        <v>3</v>
      </c>
      <c r="J4" s="40">
        <f>'QV en TO ronde 4'!B8</f>
        <v>6</v>
      </c>
      <c r="L4" s="41">
        <v>3</v>
      </c>
      <c r="M4" s="42">
        <f>'QV en TO ronde 4'!C8</f>
        <v>4</v>
      </c>
      <c r="O4" s="43">
        <v>3</v>
      </c>
      <c r="P4" s="44">
        <f>'QV en TO ronde 4'!D8</f>
        <v>1.5</v>
      </c>
    </row>
    <row r="5" spans="1:26" ht="14.25" customHeight="1">
      <c r="A5" s="2" t="s">
        <v>53</v>
      </c>
      <c r="B5" s="3">
        <f>'QV en TO ronde 4'!L43</f>
        <v>1500</v>
      </c>
      <c r="C5" s="3">
        <f>'QV en TO ronde 4'!M43</f>
        <v>1500</v>
      </c>
      <c r="D5" s="3">
        <f>'QV en TO ronde 4'!N43</f>
        <v>1500</v>
      </c>
      <c r="E5" s="3">
        <f>'QV en TO ronde 4'!O43</f>
        <v>1500</v>
      </c>
      <c r="F5" s="3">
        <f>'QV en TO ronde 4'!P43</f>
        <v>1500</v>
      </c>
      <c r="G5" s="3">
        <f>'QV en TO ronde 4'!Q43</f>
        <v>1500</v>
      </c>
      <c r="I5" s="14">
        <v>4</v>
      </c>
      <c r="J5" s="40">
        <f>'QV en TO ronde 4'!B9</f>
        <v>6</v>
      </c>
      <c r="L5" s="41">
        <v>4</v>
      </c>
      <c r="M5" s="42">
        <f>'QV en TO ronde 4'!C9</f>
        <v>4</v>
      </c>
      <c r="O5" s="43">
        <v>4</v>
      </c>
      <c r="P5" s="44">
        <f>'QV en TO ronde 4'!D9</f>
        <v>1.5</v>
      </c>
    </row>
    <row r="6" spans="1:26" ht="14.25" customHeight="1">
      <c r="A6" s="1" t="s">
        <v>54</v>
      </c>
      <c r="B6" s="46">
        <f t="shared" ref="B6:G6" si="0">B2/B4</f>
        <v>1.7395833333333333</v>
      </c>
      <c r="C6" s="46">
        <f t="shared" si="0"/>
        <v>1.7395833333333333</v>
      </c>
      <c r="D6" s="46">
        <f t="shared" si="0"/>
        <v>1.7395833333333333</v>
      </c>
      <c r="E6" s="46">
        <f t="shared" si="0"/>
        <v>1.7395833333333333</v>
      </c>
      <c r="F6" s="46">
        <f t="shared" si="0"/>
        <v>1.7395833333333333</v>
      </c>
      <c r="G6" s="46">
        <f t="shared" si="0"/>
        <v>1.7395833333333333</v>
      </c>
      <c r="I6" s="14">
        <v>5</v>
      </c>
      <c r="J6" s="40">
        <f>'QV en TO ronde 4'!B10</f>
        <v>6</v>
      </c>
      <c r="L6" s="41">
        <v>5</v>
      </c>
      <c r="M6" s="42">
        <f>'QV en TO ronde 4'!C10</f>
        <v>4</v>
      </c>
      <c r="O6" s="43">
        <v>5</v>
      </c>
      <c r="P6" s="44">
        <f>'QV en TO ronde 4'!D10</f>
        <v>1.5</v>
      </c>
    </row>
    <row r="7" spans="1:26" ht="14.25" customHeight="1">
      <c r="B7" s="48">
        <f t="shared" ref="B7:G7" si="1">B5/(SUM($B5:$G5))</f>
        <v>0.16666666666666666</v>
      </c>
      <c r="C7" s="48">
        <f t="shared" si="1"/>
        <v>0.16666666666666666</v>
      </c>
      <c r="D7" s="48">
        <f t="shared" si="1"/>
        <v>0.16666666666666666</v>
      </c>
      <c r="E7" s="48">
        <f t="shared" si="1"/>
        <v>0.16666666666666666</v>
      </c>
      <c r="F7" s="48">
        <f t="shared" si="1"/>
        <v>0.16666666666666666</v>
      </c>
      <c r="G7" s="48">
        <f t="shared" si="1"/>
        <v>0.16666666666666666</v>
      </c>
      <c r="I7" s="14">
        <v>6</v>
      </c>
      <c r="J7" s="40">
        <f>'QV en TO ronde 4'!B11</f>
        <v>6</v>
      </c>
      <c r="L7" s="41">
        <v>6</v>
      </c>
      <c r="M7" s="42">
        <f>'QV en TO ronde 4'!C11</f>
        <v>4</v>
      </c>
      <c r="O7" s="43">
        <v>6</v>
      </c>
      <c r="P7" s="44">
        <f>'QV en TO ronde 4'!D11</f>
        <v>1.5</v>
      </c>
    </row>
    <row r="8" spans="1:26" ht="14.25" customHeight="1">
      <c r="B8" s="48">
        <f t="shared" ref="B8:G8" si="2">B9/(SUM($B9:$G9))</f>
        <v>0.16666666666666666</v>
      </c>
      <c r="C8" s="48">
        <f t="shared" si="2"/>
        <v>0.16666666666666666</v>
      </c>
      <c r="D8" s="48">
        <f t="shared" si="2"/>
        <v>0.16666666666666666</v>
      </c>
      <c r="E8" s="48">
        <f t="shared" si="2"/>
        <v>0.16666666666666666</v>
      </c>
      <c r="F8" s="48">
        <f t="shared" si="2"/>
        <v>0.16666666666666666</v>
      </c>
      <c r="G8" s="48">
        <f t="shared" si="2"/>
        <v>0.16666666666666666</v>
      </c>
      <c r="I8" s="37" t="s">
        <v>55</v>
      </c>
      <c r="J8" s="49">
        <f>AVERAGE(J2:J7)</f>
        <v>6</v>
      </c>
      <c r="K8" s="35"/>
      <c r="L8" s="38" t="s">
        <v>55</v>
      </c>
      <c r="M8" s="50">
        <f>AVERAGE(M2:M7)</f>
        <v>4</v>
      </c>
      <c r="N8" s="35"/>
      <c r="O8" s="39" t="s">
        <v>55</v>
      </c>
      <c r="P8" s="70">
        <f>AVERAGE(P2:P7)</f>
        <v>1.5</v>
      </c>
    </row>
    <row r="9" spans="1:26" ht="14.25" customHeight="1">
      <c r="A9" s="2" t="s">
        <v>56</v>
      </c>
      <c r="B9" s="3">
        <f>'QV en TO ronde 4'!L44</f>
        <v>9000</v>
      </c>
      <c r="C9" s="3">
        <f>'QV en TO ronde 4'!M44</f>
        <v>9000</v>
      </c>
      <c r="D9" s="3">
        <f>'QV en TO ronde 4'!N44</f>
        <v>9000</v>
      </c>
      <c r="E9" s="3">
        <f>'QV en TO ronde 4'!O44</f>
        <v>9000</v>
      </c>
      <c r="F9" s="3">
        <f>'QV en TO ronde 4'!P44</f>
        <v>9000</v>
      </c>
      <c r="G9" s="3">
        <f>'QV en TO ronde 4'!Q44</f>
        <v>9000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>
      <c r="A10" s="2" t="s">
        <v>57</v>
      </c>
      <c r="B10" s="3">
        <f t="shared" ref="B10:G10" si="3">1.5*B5</f>
        <v>2250</v>
      </c>
      <c r="C10" s="3">
        <f t="shared" si="3"/>
        <v>2250</v>
      </c>
      <c r="D10" s="3">
        <f t="shared" si="3"/>
        <v>2250</v>
      </c>
      <c r="E10" s="3">
        <f t="shared" si="3"/>
        <v>2250</v>
      </c>
      <c r="F10" s="3">
        <f t="shared" si="3"/>
        <v>2250</v>
      </c>
      <c r="G10" s="3">
        <f t="shared" si="3"/>
        <v>2250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54" t="s">
        <v>58</v>
      </c>
      <c r="B11" s="71">
        <f t="shared" ref="B11:G11" si="4">B9+B10</f>
        <v>11250</v>
      </c>
      <c r="C11" s="71">
        <f t="shared" si="4"/>
        <v>11250</v>
      </c>
      <c r="D11" s="71">
        <f t="shared" si="4"/>
        <v>11250</v>
      </c>
      <c r="E11" s="71">
        <f t="shared" si="4"/>
        <v>11250</v>
      </c>
      <c r="F11" s="71">
        <f t="shared" si="4"/>
        <v>11250</v>
      </c>
      <c r="G11" s="71">
        <f t="shared" si="4"/>
        <v>11250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1" t="s">
        <v>59</v>
      </c>
      <c r="B12" s="6">
        <f>Kosten!E22</f>
        <v>4700</v>
      </c>
      <c r="C12" s="6">
        <f>Kosten!F22</f>
        <v>4700</v>
      </c>
      <c r="D12" s="6">
        <f>Kosten!G22</f>
        <v>4700</v>
      </c>
      <c r="E12" s="6">
        <f>Kosten!H22</f>
        <v>4700</v>
      </c>
      <c r="F12" s="6">
        <f>Kosten!I22</f>
        <v>4700</v>
      </c>
      <c r="G12" s="6">
        <f>Kosten!J22</f>
        <v>4700</v>
      </c>
    </row>
    <row r="13" spans="1:26" ht="14.25" customHeight="1">
      <c r="A13" s="1" t="s">
        <v>60</v>
      </c>
      <c r="B13" s="6">
        <f>Kosten!E23+0.5*B5</f>
        <v>3750</v>
      </c>
      <c r="C13" s="6">
        <f>Kosten!F23+0.5*C5</f>
        <v>3750</v>
      </c>
      <c r="D13" s="6">
        <f>Kosten!G23+0.5*D5</f>
        <v>3750</v>
      </c>
      <c r="E13" s="6">
        <f>Kosten!H23+0.5*E5</f>
        <v>3750</v>
      </c>
      <c r="F13" s="6">
        <f>Kosten!I23+0.5*F5</f>
        <v>3750</v>
      </c>
      <c r="G13" s="6">
        <f>Kosten!J23+0.5*G5</f>
        <v>3750</v>
      </c>
    </row>
    <row r="14" spans="1:26" ht="14.25" customHeight="1">
      <c r="A14" s="59" t="s">
        <v>61</v>
      </c>
      <c r="B14" s="60">
        <f t="shared" ref="B14:G14" si="5">MAX(0,(((B5/3000)-1)/15)*(B12+B13))</f>
        <v>0</v>
      </c>
      <c r="C14" s="60">
        <f t="shared" si="5"/>
        <v>0</v>
      </c>
      <c r="D14" s="60">
        <f t="shared" si="5"/>
        <v>0</v>
      </c>
      <c r="E14" s="60">
        <f t="shared" si="5"/>
        <v>0</v>
      </c>
      <c r="F14" s="60">
        <f t="shared" si="5"/>
        <v>0</v>
      </c>
      <c r="G14" s="60">
        <f t="shared" si="5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 customHeight="1">
      <c r="A15" s="35" t="s">
        <v>62</v>
      </c>
      <c r="B15" s="72">
        <f t="shared" ref="B15:G15" si="6">B12+B13-B14</f>
        <v>8450</v>
      </c>
      <c r="C15" s="72">
        <f t="shared" si="6"/>
        <v>8450</v>
      </c>
      <c r="D15" s="72">
        <f t="shared" si="6"/>
        <v>8450</v>
      </c>
      <c r="E15" s="72">
        <f t="shared" si="6"/>
        <v>8450</v>
      </c>
      <c r="F15" s="72">
        <f t="shared" si="6"/>
        <v>8450</v>
      </c>
      <c r="G15" s="72">
        <f t="shared" si="6"/>
        <v>8450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67" t="s">
        <v>66</v>
      </c>
      <c r="B16" s="73">
        <f t="shared" ref="B16:G16" si="7">B11-B15</f>
        <v>2800</v>
      </c>
      <c r="C16" s="73">
        <f t="shared" si="7"/>
        <v>2800</v>
      </c>
      <c r="D16" s="73">
        <f t="shared" si="7"/>
        <v>2800</v>
      </c>
      <c r="E16" s="73">
        <f t="shared" si="7"/>
        <v>2800</v>
      </c>
      <c r="F16" s="73">
        <f t="shared" si="7"/>
        <v>2800</v>
      </c>
      <c r="G16" s="73">
        <f t="shared" si="7"/>
        <v>2800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7" ht="14.25" customHeight="1">
      <c r="A17" s="38" t="s">
        <v>67</v>
      </c>
      <c r="B17" s="74">
        <f>B16+'Uitkomst ronde 3'!B17</f>
        <v>11200</v>
      </c>
      <c r="C17" s="74">
        <f>C16+'Uitkomst ronde 3'!C17</f>
        <v>11200</v>
      </c>
      <c r="D17" s="74">
        <f>D16+'Uitkomst ronde 3'!D17</f>
        <v>11200</v>
      </c>
      <c r="E17" s="74">
        <f>E16+'Uitkomst ronde 3'!E17</f>
        <v>11200</v>
      </c>
      <c r="F17" s="74">
        <f>F16+'Uitkomst ronde 3'!F17</f>
        <v>11200</v>
      </c>
      <c r="G17" s="74">
        <f>G16+'Uitkomst ronde 3'!G17</f>
        <v>11200</v>
      </c>
    </row>
    <row r="18" spans="1:7" ht="14.25" customHeight="1"/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4"/>
  <sheetViews>
    <sheetView workbookViewId="0"/>
  </sheetViews>
  <sheetFormatPr defaultColWidth="12.625" defaultRowHeight="15" customHeight="1"/>
  <cols>
    <col min="1" max="1" width="13.375" customWidth="1"/>
    <col min="2" max="9" width="7.625" customWidth="1"/>
    <col min="10" max="10" width="9.25" customWidth="1"/>
    <col min="11" max="14" width="7.625" customWidth="1"/>
    <col min="15" max="15" width="10.5" customWidth="1"/>
    <col min="16" max="16" width="12.25" customWidth="1"/>
    <col min="17" max="26" width="7.625" customWidth="1"/>
  </cols>
  <sheetData>
    <row r="1" spans="1:26" ht="14.25" customHeight="1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I1" s="37" t="s">
        <v>5</v>
      </c>
      <c r="J1" s="37" t="s">
        <v>15</v>
      </c>
      <c r="L1" s="38" t="s">
        <v>5</v>
      </c>
      <c r="M1" s="38" t="s">
        <v>49</v>
      </c>
      <c r="O1" s="39" t="s">
        <v>5</v>
      </c>
      <c r="P1" s="39" t="s">
        <v>50</v>
      </c>
    </row>
    <row r="2" spans="1:26" ht="14.25" customHeight="1">
      <c r="A2" s="2" t="s">
        <v>51</v>
      </c>
      <c r="B2" s="6">
        <f>'QV en TO ronde 5'!L30</f>
        <v>2609.375</v>
      </c>
      <c r="C2" s="6">
        <f>'QV en TO ronde 5'!M30</f>
        <v>2609.375</v>
      </c>
      <c r="D2" s="6">
        <f>'QV en TO ronde 5'!N30</f>
        <v>2609.375</v>
      </c>
      <c r="E2" s="6">
        <f>'QV en TO ronde 5'!O30</f>
        <v>2609.375</v>
      </c>
      <c r="F2" s="6">
        <f>'QV en TO ronde 5'!P30</f>
        <v>2609.375</v>
      </c>
      <c r="G2" s="6">
        <f>'QV en TO ronde 5'!Q30</f>
        <v>2609.375</v>
      </c>
      <c r="I2" s="14">
        <v>1</v>
      </c>
      <c r="J2" s="40">
        <f>'QV en TO ronde 5'!B6</f>
        <v>6</v>
      </c>
      <c r="L2" s="41">
        <v>1</v>
      </c>
      <c r="M2" s="42">
        <f>'QV en TO ronde 5'!C6</f>
        <v>4</v>
      </c>
      <c r="O2" s="43">
        <v>1</v>
      </c>
      <c r="P2" s="44">
        <f>'QV en TO ronde 5'!D6</f>
        <v>1.5</v>
      </c>
    </row>
    <row r="3" spans="1:26" ht="14.25" customHeight="1">
      <c r="B3" s="6"/>
      <c r="C3" s="6"/>
      <c r="D3" s="6"/>
      <c r="E3" s="6"/>
      <c r="F3" s="6"/>
      <c r="G3" s="6"/>
      <c r="I3" s="14">
        <v>2</v>
      </c>
      <c r="J3" s="40">
        <f>'QV en TO ronde 5'!B7</f>
        <v>6</v>
      </c>
      <c r="L3" s="41">
        <v>2</v>
      </c>
      <c r="M3" s="42">
        <f>'QV en TO ronde 5'!C7</f>
        <v>4</v>
      </c>
      <c r="O3" s="43">
        <v>2</v>
      </c>
      <c r="P3" s="44">
        <f>'QV en TO ronde 5'!D7</f>
        <v>1.5</v>
      </c>
    </row>
    <row r="4" spans="1:26" ht="14.25" customHeight="1">
      <c r="A4" s="1" t="s">
        <v>52</v>
      </c>
      <c r="B4" s="1">
        <f>Capaciteit!K27</f>
        <v>1500</v>
      </c>
      <c r="C4" s="1">
        <f>Capaciteit!L27</f>
        <v>1500</v>
      </c>
      <c r="D4" s="1">
        <f>Capaciteit!M27</f>
        <v>1500</v>
      </c>
      <c r="E4" s="1">
        <f>Capaciteit!N27</f>
        <v>1500</v>
      </c>
      <c r="F4" s="1">
        <f>Capaciteit!O27</f>
        <v>1500</v>
      </c>
      <c r="G4" s="1">
        <f>Capaciteit!P27</f>
        <v>1500</v>
      </c>
      <c r="I4" s="14">
        <v>3</v>
      </c>
      <c r="J4" s="40">
        <f>'QV en TO ronde 5'!B8</f>
        <v>6</v>
      </c>
      <c r="L4" s="41">
        <v>3</v>
      </c>
      <c r="M4" s="42">
        <f>'QV en TO ronde 5'!C8</f>
        <v>4</v>
      </c>
      <c r="O4" s="43">
        <v>3</v>
      </c>
      <c r="P4" s="44">
        <f>'QV en TO ronde 5'!D8</f>
        <v>1.5</v>
      </c>
    </row>
    <row r="5" spans="1:26" ht="14.25" customHeight="1">
      <c r="A5" s="2" t="s">
        <v>53</v>
      </c>
      <c r="B5" s="3">
        <f>'QV en TO ronde 5'!L43</f>
        <v>1500</v>
      </c>
      <c r="C5" s="3">
        <f>'QV en TO ronde 5'!M43</f>
        <v>1500</v>
      </c>
      <c r="D5" s="3">
        <f>'QV en TO ronde 5'!N43</f>
        <v>1500</v>
      </c>
      <c r="E5" s="3">
        <f>'QV en TO ronde 5'!O43</f>
        <v>1500</v>
      </c>
      <c r="F5" s="3">
        <f>'QV en TO ronde 5'!P43</f>
        <v>1500</v>
      </c>
      <c r="G5" s="3">
        <f>'QV en TO ronde 5'!Q43</f>
        <v>1500</v>
      </c>
      <c r="I5" s="14">
        <v>4</v>
      </c>
      <c r="J5" s="40">
        <f>'QV en TO ronde 5'!B9</f>
        <v>6</v>
      </c>
      <c r="L5" s="41">
        <v>4</v>
      </c>
      <c r="M5" s="42">
        <f>'QV en TO ronde 5'!C9</f>
        <v>4</v>
      </c>
      <c r="O5" s="43">
        <v>4</v>
      </c>
      <c r="P5" s="44">
        <f>'QV en TO ronde 5'!D9</f>
        <v>1.5</v>
      </c>
    </row>
    <row r="6" spans="1:26" ht="14.25" customHeight="1">
      <c r="A6" s="1" t="s">
        <v>54</v>
      </c>
      <c r="B6" s="46">
        <f t="shared" ref="B6:G6" si="0">B2/B4</f>
        <v>1.7395833333333333</v>
      </c>
      <c r="C6" s="46">
        <f t="shared" si="0"/>
        <v>1.7395833333333333</v>
      </c>
      <c r="D6" s="46">
        <f t="shared" si="0"/>
        <v>1.7395833333333333</v>
      </c>
      <c r="E6" s="46">
        <f t="shared" si="0"/>
        <v>1.7395833333333333</v>
      </c>
      <c r="F6" s="46">
        <f t="shared" si="0"/>
        <v>1.7395833333333333</v>
      </c>
      <c r="G6" s="46">
        <f t="shared" si="0"/>
        <v>1.7395833333333333</v>
      </c>
      <c r="I6" s="14">
        <v>5</v>
      </c>
      <c r="J6" s="40">
        <f>'QV en TO ronde 5'!B10</f>
        <v>6</v>
      </c>
      <c r="L6" s="41">
        <v>5</v>
      </c>
      <c r="M6" s="42">
        <f>'QV en TO ronde 5'!C10</f>
        <v>4</v>
      </c>
      <c r="O6" s="43">
        <v>5</v>
      </c>
      <c r="P6" s="44">
        <f>'QV en TO ronde 5'!D10</f>
        <v>1.5</v>
      </c>
    </row>
    <row r="7" spans="1:26" ht="14.25" customHeight="1">
      <c r="B7" s="48">
        <f t="shared" ref="B7:G7" si="1">B5/(SUM($B5:$G5))</f>
        <v>0.16666666666666666</v>
      </c>
      <c r="C7" s="48">
        <f t="shared" si="1"/>
        <v>0.16666666666666666</v>
      </c>
      <c r="D7" s="48">
        <f t="shared" si="1"/>
        <v>0.16666666666666666</v>
      </c>
      <c r="E7" s="48">
        <f t="shared" si="1"/>
        <v>0.16666666666666666</v>
      </c>
      <c r="F7" s="48">
        <f t="shared" si="1"/>
        <v>0.16666666666666666</v>
      </c>
      <c r="G7" s="48">
        <f t="shared" si="1"/>
        <v>0.16666666666666666</v>
      </c>
      <c r="I7" s="14">
        <v>6</v>
      </c>
      <c r="J7" s="40">
        <f>'QV en TO ronde 5'!B11</f>
        <v>6</v>
      </c>
      <c r="L7" s="41">
        <v>6</v>
      </c>
      <c r="M7" s="42">
        <f>'QV en TO ronde 5'!C11</f>
        <v>4</v>
      </c>
      <c r="O7" s="43">
        <v>6</v>
      </c>
      <c r="P7" s="44">
        <f>'QV en TO ronde 5'!D11</f>
        <v>1.5</v>
      </c>
    </row>
    <row r="8" spans="1:26" ht="14.25" customHeight="1">
      <c r="B8" s="48">
        <f t="shared" ref="B8:G8" si="2">B9/(SUM($B9:$G9))</f>
        <v>0.16666666666666666</v>
      </c>
      <c r="C8" s="48">
        <f t="shared" si="2"/>
        <v>0.16666666666666666</v>
      </c>
      <c r="D8" s="48">
        <f t="shared" si="2"/>
        <v>0.16666666666666666</v>
      </c>
      <c r="E8" s="48">
        <f t="shared" si="2"/>
        <v>0.16666666666666666</v>
      </c>
      <c r="F8" s="48">
        <f t="shared" si="2"/>
        <v>0.16666666666666666</v>
      </c>
      <c r="G8" s="48">
        <f t="shared" si="2"/>
        <v>0.16666666666666666</v>
      </c>
      <c r="I8" s="37" t="s">
        <v>55</v>
      </c>
      <c r="J8" s="49">
        <f>AVERAGE(J2:J7)</f>
        <v>6</v>
      </c>
      <c r="K8" s="35"/>
      <c r="L8" s="38" t="s">
        <v>55</v>
      </c>
      <c r="M8" s="50">
        <f>AVERAGE(M2:M7)</f>
        <v>4</v>
      </c>
      <c r="N8" s="35"/>
      <c r="O8" s="39" t="s">
        <v>55</v>
      </c>
      <c r="P8" s="70">
        <f>AVERAGE(P2:P7)</f>
        <v>1.5</v>
      </c>
    </row>
    <row r="9" spans="1:26" ht="14.25" customHeight="1">
      <c r="A9" s="2" t="s">
        <v>56</v>
      </c>
      <c r="B9" s="3">
        <f>'QV en TO ronde 5'!L44</f>
        <v>9000</v>
      </c>
      <c r="C9" s="3">
        <f>'QV en TO ronde 5'!M44</f>
        <v>9000</v>
      </c>
      <c r="D9" s="3">
        <f>'QV en TO ronde 5'!N44</f>
        <v>9000</v>
      </c>
      <c r="E9" s="3">
        <f>'QV en TO ronde 5'!O44</f>
        <v>9000</v>
      </c>
      <c r="F9" s="3">
        <f>'QV en TO ronde 5'!P44</f>
        <v>9000</v>
      </c>
      <c r="G9" s="3">
        <f>'QV en TO ronde 5'!Q44</f>
        <v>9000</v>
      </c>
    </row>
    <row r="10" spans="1:26" ht="14.25" customHeight="1">
      <c r="A10" s="2" t="s">
        <v>57</v>
      </c>
      <c r="B10" s="3">
        <f t="shared" ref="B10:G10" si="3">1.5*B5</f>
        <v>2250</v>
      </c>
      <c r="C10" s="3">
        <f t="shared" si="3"/>
        <v>2250</v>
      </c>
      <c r="D10" s="3">
        <f t="shared" si="3"/>
        <v>2250</v>
      </c>
      <c r="E10" s="3">
        <f t="shared" si="3"/>
        <v>2250</v>
      </c>
      <c r="F10" s="3">
        <f t="shared" si="3"/>
        <v>2250</v>
      </c>
      <c r="G10" s="3">
        <f t="shared" si="3"/>
        <v>2250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54" t="s">
        <v>58</v>
      </c>
      <c r="B11" s="71">
        <f t="shared" ref="B11:G11" si="4">B9+B10</f>
        <v>11250</v>
      </c>
      <c r="C11" s="71">
        <f t="shared" si="4"/>
        <v>11250</v>
      </c>
      <c r="D11" s="71">
        <f t="shared" si="4"/>
        <v>11250</v>
      </c>
      <c r="E11" s="71">
        <f t="shared" si="4"/>
        <v>11250</v>
      </c>
      <c r="F11" s="71">
        <f t="shared" si="4"/>
        <v>11250</v>
      </c>
      <c r="G11" s="71">
        <f t="shared" si="4"/>
        <v>11250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1" t="s">
        <v>59</v>
      </c>
      <c r="B12" s="6">
        <f>Kosten!L22</f>
        <v>4700</v>
      </c>
      <c r="C12" s="6">
        <f>Kosten!M22</f>
        <v>4700</v>
      </c>
      <c r="D12" s="6">
        <f>Kosten!N22</f>
        <v>4700</v>
      </c>
      <c r="E12" s="6">
        <f>Kosten!O22</f>
        <v>4700</v>
      </c>
      <c r="F12" s="6">
        <f>Kosten!P22</f>
        <v>4700</v>
      </c>
      <c r="G12" s="6">
        <f>Kosten!Q22</f>
        <v>4700</v>
      </c>
    </row>
    <row r="13" spans="1:26" ht="14.25" customHeight="1">
      <c r="A13" s="1" t="s">
        <v>60</v>
      </c>
      <c r="B13" s="6">
        <f>Kosten!L23+0.5*B5</f>
        <v>3750</v>
      </c>
      <c r="C13" s="6">
        <f>Kosten!M23+0.5*C5</f>
        <v>3750</v>
      </c>
      <c r="D13" s="6">
        <f>Kosten!N23+0.5*D5</f>
        <v>3750</v>
      </c>
      <c r="E13" s="6">
        <f>Kosten!O23+0.5*E5</f>
        <v>3750</v>
      </c>
      <c r="F13" s="6">
        <f>Kosten!P23+0.5*F5</f>
        <v>3750</v>
      </c>
      <c r="G13" s="6">
        <f>Kosten!Q23+0.5*G5</f>
        <v>3750</v>
      </c>
    </row>
    <row r="14" spans="1:26" ht="14.25" customHeight="1">
      <c r="A14" s="59" t="s">
        <v>61</v>
      </c>
      <c r="B14" s="60">
        <f t="shared" ref="B14:G14" si="5">MAX(0,(((B5/3000)-1)/15)*(B12+B13))</f>
        <v>0</v>
      </c>
      <c r="C14" s="60">
        <f t="shared" si="5"/>
        <v>0</v>
      </c>
      <c r="D14" s="60">
        <f t="shared" si="5"/>
        <v>0</v>
      </c>
      <c r="E14" s="60">
        <f t="shared" si="5"/>
        <v>0</v>
      </c>
      <c r="F14" s="60">
        <f t="shared" si="5"/>
        <v>0</v>
      </c>
      <c r="G14" s="60">
        <f t="shared" si="5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 customHeight="1">
      <c r="A15" s="35" t="s">
        <v>62</v>
      </c>
      <c r="B15" s="72">
        <f t="shared" ref="B15:G15" si="6">B12+B13-B14</f>
        <v>8450</v>
      </c>
      <c r="C15" s="72">
        <f t="shared" si="6"/>
        <v>8450</v>
      </c>
      <c r="D15" s="72">
        <f t="shared" si="6"/>
        <v>8450</v>
      </c>
      <c r="E15" s="72">
        <f t="shared" si="6"/>
        <v>8450</v>
      </c>
      <c r="F15" s="72">
        <f t="shared" si="6"/>
        <v>8450</v>
      </c>
      <c r="G15" s="72">
        <f t="shared" si="6"/>
        <v>8450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67" t="s">
        <v>66</v>
      </c>
      <c r="B16" s="73">
        <f t="shared" ref="B16:G16" si="7">B11-B15</f>
        <v>2800</v>
      </c>
      <c r="C16" s="73">
        <f t="shared" si="7"/>
        <v>2800</v>
      </c>
      <c r="D16" s="73">
        <f t="shared" si="7"/>
        <v>2800</v>
      </c>
      <c r="E16" s="73">
        <f t="shared" si="7"/>
        <v>2800</v>
      </c>
      <c r="F16" s="73">
        <f t="shared" si="7"/>
        <v>2800</v>
      </c>
      <c r="G16" s="73">
        <f t="shared" si="7"/>
        <v>2800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7" ht="14.25" customHeight="1">
      <c r="A17" s="38" t="s">
        <v>67</v>
      </c>
      <c r="B17" s="74">
        <f>B16+'Uitkomst ronde 4'!B17</f>
        <v>14000</v>
      </c>
      <c r="C17" s="74">
        <f>C16+'Uitkomst ronde 4'!C17</f>
        <v>14000</v>
      </c>
      <c r="D17" s="74">
        <f>D16+'Uitkomst ronde 4'!D17</f>
        <v>14000</v>
      </c>
      <c r="E17" s="74">
        <f>E16+'Uitkomst ronde 4'!E17</f>
        <v>14000</v>
      </c>
      <c r="F17" s="74">
        <f>F16+'Uitkomst ronde 4'!F17</f>
        <v>14000</v>
      </c>
      <c r="G17" s="74">
        <f>G16+'Uitkomst ronde 4'!G17</f>
        <v>14000</v>
      </c>
    </row>
    <row r="18" spans="1:7" ht="14.25" customHeight="1"/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4"/>
  <sheetViews>
    <sheetView workbookViewId="0"/>
  </sheetViews>
  <sheetFormatPr defaultColWidth="12.625" defaultRowHeight="15" customHeight="1"/>
  <cols>
    <col min="1" max="1" width="13.375" customWidth="1"/>
    <col min="2" max="9" width="7.625" customWidth="1"/>
    <col min="10" max="10" width="9.25" customWidth="1"/>
    <col min="11" max="14" width="7.625" customWidth="1"/>
    <col min="15" max="15" width="10.5" customWidth="1"/>
    <col min="16" max="16" width="12.25" customWidth="1"/>
    <col min="17" max="26" width="7.625" customWidth="1"/>
  </cols>
  <sheetData>
    <row r="1" spans="1:26" ht="14.25" customHeight="1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I1" s="37" t="s">
        <v>5</v>
      </c>
      <c r="J1" s="37" t="s">
        <v>15</v>
      </c>
      <c r="L1" s="38" t="s">
        <v>5</v>
      </c>
      <c r="M1" s="38" t="s">
        <v>49</v>
      </c>
      <c r="O1" s="39" t="s">
        <v>5</v>
      </c>
      <c r="P1" s="39" t="s">
        <v>50</v>
      </c>
    </row>
    <row r="2" spans="1:26" ht="14.25" customHeight="1">
      <c r="A2" s="2" t="s">
        <v>51</v>
      </c>
      <c r="B2" s="6">
        <f>'QV en TO ronde 6'!L30</f>
        <v>2609.375</v>
      </c>
      <c r="C2" s="6">
        <f>'QV en TO ronde 6'!M30</f>
        <v>2609.375</v>
      </c>
      <c r="D2" s="6">
        <f>'QV en TO ronde 6'!N30</f>
        <v>2609.375</v>
      </c>
      <c r="E2" s="6">
        <f>'QV en TO ronde 6'!O30</f>
        <v>2609.375</v>
      </c>
      <c r="F2" s="6">
        <f>'QV en TO ronde 6'!P30</f>
        <v>2609.375</v>
      </c>
      <c r="G2" s="6">
        <f>'QV en TO ronde 6'!Q30</f>
        <v>2609.375</v>
      </c>
      <c r="I2" s="14">
        <v>1</v>
      </c>
      <c r="J2" s="40">
        <f>'QV en TO ronde 6'!B6</f>
        <v>6</v>
      </c>
      <c r="L2" s="41">
        <v>1</v>
      </c>
      <c r="M2" s="42">
        <f>'QV en TO ronde 6'!C6</f>
        <v>4</v>
      </c>
      <c r="O2" s="43">
        <v>1</v>
      </c>
      <c r="P2" s="44">
        <f>'QV en TO ronde 6'!D6</f>
        <v>1.5</v>
      </c>
    </row>
    <row r="3" spans="1:26" ht="14.25" customHeight="1">
      <c r="B3" s="6"/>
      <c r="C3" s="6"/>
      <c r="D3" s="6"/>
      <c r="E3" s="6"/>
      <c r="F3" s="6"/>
      <c r="G3" s="6"/>
      <c r="I3" s="14">
        <v>2</v>
      </c>
      <c r="J3" s="40">
        <f>'QV en TO ronde 6'!B7</f>
        <v>6</v>
      </c>
      <c r="L3" s="41">
        <v>2</v>
      </c>
      <c r="M3" s="42">
        <f>'QV en TO ronde 6'!C7</f>
        <v>4</v>
      </c>
      <c r="O3" s="43">
        <v>2</v>
      </c>
      <c r="P3" s="44">
        <f>'QV en TO ronde 6'!D7</f>
        <v>1.5</v>
      </c>
    </row>
    <row r="4" spans="1:26" ht="14.25" customHeight="1">
      <c r="A4" s="1" t="s">
        <v>52</v>
      </c>
      <c r="B4" s="1">
        <f>Capaciteit!S27</f>
        <v>1500</v>
      </c>
      <c r="C4" s="1">
        <f>Capaciteit!T27</f>
        <v>1500</v>
      </c>
      <c r="D4" s="1">
        <f>Capaciteit!U27</f>
        <v>1500</v>
      </c>
      <c r="E4" s="1">
        <f>Capaciteit!V27</f>
        <v>1500</v>
      </c>
      <c r="F4" s="1">
        <f>Capaciteit!W27</f>
        <v>1500</v>
      </c>
      <c r="G4" s="1">
        <f>Capaciteit!X27</f>
        <v>1500</v>
      </c>
      <c r="I4" s="14">
        <v>3</v>
      </c>
      <c r="J4" s="40">
        <f>'QV en TO ronde 6'!B8</f>
        <v>6</v>
      </c>
      <c r="L4" s="41">
        <v>3</v>
      </c>
      <c r="M4" s="42">
        <f>'QV en TO ronde 6'!C8</f>
        <v>4</v>
      </c>
      <c r="O4" s="43">
        <v>3</v>
      </c>
      <c r="P4" s="44">
        <f>'QV en TO ronde 6'!D8</f>
        <v>1.5</v>
      </c>
    </row>
    <row r="5" spans="1:26" ht="14.25" customHeight="1">
      <c r="A5" s="2" t="s">
        <v>53</v>
      </c>
      <c r="B5" s="3">
        <f>'QV en TO ronde 6'!L43</f>
        <v>1500</v>
      </c>
      <c r="C5" s="3">
        <f>'QV en TO ronde 6'!M43</f>
        <v>1500</v>
      </c>
      <c r="D5" s="3">
        <f>'QV en TO ronde 6'!N43</f>
        <v>1500</v>
      </c>
      <c r="E5" s="3">
        <f>'QV en TO ronde 6'!O43</f>
        <v>1500</v>
      </c>
      <c r="F5" s="3">
        <f>'QV en TO ronde 6'!P43</f>
        <v>1500</v>
      </c>
      <c r="G5" s="3">
        <f>'QV en TO ronde 6'!Q43</f>
        <v>1500</v>
      </c>
      <c r="I5" s="14">
        <v>4</v>
      </c>
      <c r="J5" s="40">
        <f>'QV en TO ronde 6'!B9</f>
        <v>6</v>
      </c>
      <c r="L5" s="41">
        <v>4</v>
      </c>
      <c r="M5" s="42">
        <f>'QV en TO ronde 6'!C9</f>
        <v>4</v>
      </c>
      <c r="O5" s="43">
        <v>4</v>
      </c>
      <c r="P5" s="44">
        <f>'QV en TO ronde 6'!D9</f>
        <v>1.5</v>
      </c>
    </row>
    <row r="6" spans="1:26" ht="14.25" customHeight="1">
      <c r="A6" s="1" t="s">
        <v>54</v>
      </c>
      <c r="B6" s="46">
        <f t="shared" ref="B6:G6" si="0">B2/B4</f>
        <v>1.7395833333333333</v>
      </c>
      <c r="C6" s="46">
        <f t="shared" si="0"/>
        <v>1.7395833333333333</v>
      </c>
      <c r="D6" s="46">
        <f t="shared" si="0"/>
        <v>1.7395833333333333</v>
      </c>
      <c r="E6" s="46">
        <f t="shared" si="0"/>
        <v>1.7395833333333333</v>
      </c>
      <c r="F6" s="46">
        <f t="shared" si="0"/>
        <v>1.7395833333333333</v>
      </c>
      <c r="G6" s="46">
        <f t="shared" si="0"/>
        <v>1.7395833333333333</v>
      </c>
      <c r="I6" s="14">
        <v>5</v>
      </c>
      <c r="J6" s="40">
        <f>'QV en TO ronde 6'!B10</f>
        <v>6</v>
      </c>
      <c r="L6" s="41">
        <v>5</v>
      </c>
      <c r="M6" s="42">
        <f>'QV en TO ronde 6'!C10</f>
        <v>4</v>
      </c>
      <c r="O6" s="43">
        <v>5</v>
      </c>
      <c r="P6" s="44">
        <f>'QV en TO ronde 6'!D10</f>
        <v>1.5</v>
      </c>
    </row>
    <row r="7" spans="1:26" ht="14.25" customHeight="1">
      <c r="B7" s="48">
        <f t="shared" ref="B7:G7" si="1">B5/(SUM($B5:$G5))</f>
        <v>0.16666666666666666</v>
      </c>
      <c r="C7" s="48">
        <f t="shared" si="1"/>
        <v>0.16666666666666666</v>
      </c>
      <c r="D7" s="48">
        <f t="shared" si="1"/>
        <v>0.16666666666666666</v>
      </c>
      <c r="E7" s="48">
        <f t="shared" si="1"/>
        <v>0.16666666666666666</v>
      </c>
      <c r="F7" s="48">
        <f t="shared" si="1"/>
        <v>0.16666666666666666</v>
      </c>
      <c r="G7" s="48">
        <f t="shared" si="1"/>
        <v>0.16666666666666666</v>
      </c>
      <c r="I7" s="14">
        <v>6</v>
      </c>
      <c r="J7" s="40">
        <f>'QV en TO ronde 6'!B11</f>
        <v>6</v>
      </c>
      <c r="L7" s="41">
        <v>6</v>
      </c>
      <c r="M7" s="42">
        <f>'QV en TO ronde 6'!C11</f>
        <v>4</v>
      </c>
      <c r="O7" s="43">
        <v>6</v>
      </c>
      <c r="P7" s="44">
        <f>'QV en TO ronde 6'!D11</f>
        <v>1.5</v>
      </c>
    </row>
    <row r="8" spans="1:26" ht="14.25" customHeight="1">
      <c r="B8" s="48">
        <f t="shared" ref="B8:G8" si="2">B9/(SUM($B9:$G9))</f>
        <v>0.16666666666666666</v>
      </c>
      <c r="C8" s="48">
        <f t="shared" si="2"/>
        <v>0.16666666666666666</v>
      </c>
      <c r="D8" s="48">
        <f t="shared" si="2"/>
        <v>0.16666666666666666</v>
      </c>
      <c r="E8" s="48">
        <f t="shared" si="2"/>
        <v>0.16666666666666666</v>
      </c>
      <c r="F8" s="48">
        <f t="shared" si="2"/>
        <v>0.16666666666666666</v>
      </c>
      <c r="G8" s="48">
        <f t="shared" si="2"/>
        <v>0.16666666666666666</v>
      </c>
      <c r="I8" s="37" t="s">
        <v>55</v>
      </c>
      <c r="J8" s="49">
        <f>AVERAGE(J2:J7)</f>
        <v>6</v>
      </c>
      <c r="K8" s="35"/>
      <c r="L8" s="38" t="s">
        <v>55</v>
      </c>
      <c r="M8" s="50">
        <f>AVERAGE(M2:M7)</f>
        <v>4</v>
      </c>
      <c r="N8" s="35"/>
      <c r="O8" s="39" t="s">
        <v>55</v>
      </c>
      <c r="P8" s="70">
        <f>AVERAGE(P2:P7)</f>
        <v>1.5</v>
      </c>
    </row>
    <row r="9" spans="1:26" ht="14.25" customHeight="1">
      <c r="A9" s="2" t="s">
        <v>56</v>
      </c>
      <c r="B9" s="3">
        <f>'QV en TO ronde 6'!L44</f>
        <v>9000</v>
      </c>
      <c r="C9" s="3">
        <f>'QV en TO ronde 6'!M44</f>
        <v>9000</v>
      </c>
      <c r="D9" s="3">
        <f>'QV en TO ronde 6'!N44</f>
        <v>9000</v>
      </c>
      <c r="E9" s="3">
        <f>'QV en TO ronde 6'!O44</f>
        <v>9000</v>
      </c>
      <c r="F9" s="3">
        <f>'QV en TO ronde 6'!P44</f>
        <v>9000</v>
      </c>
      <c r="G9" s="3">
        <f>'QV en TO ronde 6'!Q44</f>
        <v>9000</v>
      </c>
    </row>
    <row r="10" spans="1:26" ht="14.25" customHeight="1">
      <c r="A10" s="2" t="s">
        <v>57</v>
      </c>
      <c r="B10" s="3">
        <f t="shared" ref="B10:G10" si="3">1.5*B5</f>
        <v>2250</v>
      </c>
      <c r="C10" s="3">
        <f t="shared" si="3"/>
        <v>2250</v>
      </c>
      <c r="D10" s="3">
        <f t="shared" si="3"/>
        <v>2250</v>
      </c>
      <c r="E10" s="3">
        <f t="shared" si="3"/>
        <v>2250</v>
      </c>
      <c r="F10" s="3">
        <f t="shared" si="3"/>
        <v>2250</v>
      </c>
      <c r="G10" s="3">
        <f t="shared" si="3"/>
        <v>2250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54" t="s">
        <v>58</v>
      </c>
      <c r="B11" s="71">
        <f t="shared" ref="B11:G11" si="4">B9+B10</f>
        <v>11250</v>
      </c>
      <c r="C11" s="71">
        <f t="shared" si="4"/>
        <v>11250</v>
      </c>
      <c r="D11" s="71">
        <f t="shared" si="4"/>
        <v>11250</v>
      </c>
      <c r="E11" s="71">
        <f t="shared" si="4"/>
        <v>11250</v>
      </c>
      <c r="F11" s="71">
        <f t="shared" si="4"/>
        <v>11250</v>
      </c>
      <c r="G11" s="71">
        <f t="shared" si="4"/>
        <v>11250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1" t="s">
        <v>59</v>
      </c>
      <c r="B12" s="6">
        <f>Kosten!S22</f>
        <v>4700</v>
      </c>
      <c r="C12" s="6">
        <f>Kosten!T22</f>
        <v>4700</v>
      </c>
      <c r="D12" s="6">
        <f>Kosten!U22</f>
        <v>4700</v>
      </c>
      <c r="E12" s="6">
        <f>Kosten!V22</f>
        <v>4700</v>
      </c>
      <c r="F12" s="6">
        <f>Kosten!W22</f>
        <v>4700</v>
      </c>
      <c r="G12" s="6">
        <f>Kosten!X22</f>
        <v>4700</v>
      </c>
    </row>
    <row r="13" spans="1:26" ht="14.25" customHeight="1">
      <c r="A13" s="1" t="s">
        <v>60</v>
      </c>
      <c r="B13" s="6">
        <f>Kosten!S23+0.5*B5</f>
        <v>3750</v>
      </c>
      <c r="C13" s="6">
        <f>Kosten!T23+0.5*C5</f>
        <v>3750</v>
      </c>
      <c r="D13" s="6">
        <f>Kosten!U23+0.5*D5</f>
        <v>3750</v>
      </c>
      <c r="E13" s="6">
        <f>Kosten!V23+0.5*E5</f>
        <v>3750</v>
      </c>
      <c r="F13" s="6">
        <f>Kosten!W23+0.5*F5</f>
        <v>3750</v>
      </c>
      <c r="G13" s="6">
        <f>Kosten!X23+0.5*G5</f>
        <v>3750</v>
      </c>
    </row>
    <row r="14" spans="1:26" ht="14.25" customHeight="1">
      <c r="A14" s="59" t="s">
        <v>61</v>
      </c>
      <c r="B14" s="60">
        <f t="shared" ref="B14:G14" si="5">MAX(0,(((B5/3000)-1)/15)*(B12+B13))</f>
        <v>0</v>
      </c>
      <c r="C14" s="60">
        <f t="shared" si="5"/>
        <v>0</v>
      </c>
      <c r="D14" s="60">
        <f t="shared" si="5"/>
        <v>0</v>
      </c>
      <c r="E14" s="60">
        <f t="shared" si="5"/>
        <v>0</v>
      </c>
      <c r="F14" s="60">
        <f t="shared" si="5"/>
        <v>0</v>
      </c>
      <c r="G14" s="60">
        <f t="shared" si="5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 customHeight="1">
      <c r="A15" s="35" t="s">
        <v>62</v>
      </c>
      <c r="B15" s="72">
        <f t="shared" ref="B15:G15" si="6">B12+B13-B14</f>
        <v>8450</v>
      </c>
      <c r="C15" s="72">
        <f t="shared" si="6"/>
        <v>8450</v>
      </c>
      <c r="D15" s="72">
        <f t="shared" si="6"/>
        <v>8450</v>
      </c>
      <c r="E15" s="72">
        <f t="shared" si="6"/>
        <v>8450</v>
      </c>
      <c r="F15" s="72">
        <f t="shared" si="6"/>
        <v>8450</v>
      </c>
      <c r="G15" s="72">
        <f t="shared" si="6"/>
        <v>8450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67" t="s">
        <v>66</v>
      </c>
      <c r="B16" s="73">
        <f t="shared" ref="B16:G16" si="7">B11-B15</f>
        <v>2800</v>
      </c>
      <c r="C16" s="73">
        <f t="shared" si="7"/>
        <v>2800</v>
      </c>
      <c r="D16" s="73">
        <f t="shared" si="7"/>
        <v>2800</v>
      </c>
      <c r="E16" s="73">
        <f t="shared" si="7"/>
        <v>2800</v>
      </c>
      <c r="F16" s="73">
        <f t="shared" si="7"/>
        <v>2800</v>
      </c>
      <c r="G16" s="73">
        <f t="shared" si="7"/>
        <v>2800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7" ht="14.25" customHeight="1">
      <c r="A17" s="38" t="s">
        <v>67</v>
      </c>
      <c r="B17" s="74">
        <f>B16+'Uitkomst ronde 5'!B17</f>
        <v>16800</v>
      </c>
      <c r="C17" s="74">
        <f>C16+'Uitkomst ronde 5'!C17</f>
        <v>16800</v>
      </c>
      <c r="D17" s="74">
        <f>D16+'Uitkomst ronde 5'!D17</f>
        <v>16800</v>
      </c>
      <c r="E17" s="74">
        <f>E16+'Uitkomst ronde 5'!E17</f>
        <v>16800</v>
      </c>
      <c r="F17" s="74">
        <f>F16+'Uitkomst ronde 5'!F17</f>
        <v>16800</v>
      </c>
      <c r="G17" s="74">
        <f>G16+'Uitkomst ronde 5'!G17</f>
        <v>16800</v>
      </c>
    </row>
    <row r="18" spans="1:7" ht="14.25" customHeight="1"/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001"/>
  <sheetViews>
    <sheetView workbookViewId="0"/>
  </sheetViews>
  <sheetFormatPr defaultColWidth="12.625" defaultRowHeight="15" customHeight="1"/>
  <cols>
    <col min="1" max="1" width="9.875" customWidth="1"/>
    <col min="2" max="25" width="7.625" customWidth="1"/>
  </cols>
  <sheetData>
    <row r="1" spans="1:25" ht="14.25" customHeight="1">
      <c r="A1" s="2" t="s">
        <v>39</v>
      </c>
      <c r="L1" s="2" t="s">
        <v>40</v>
      </c>
      <c r="S1" s="2" t="s">
        <v>41</v>
      </c>
    </row>
    <row r="2" spans="1:25" ht="14.25" customHeight="1">
      <c r="B2" s="1" t="s">
        <v>68</v>
      </c>
      <c r="C2" s="1" t="s">
        <v>69</v>
      </c>
      <c r="D2" s="1" t="s">
        <v>70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L2" s="1">
        <v>1</v>
      </c>
      <c r="M2" s="1">
        <v>2</v>
      </c>
      <c r="N2" s="1">
        <v>3</v>
      </c>
      <c r="O2" s="1">
        <v>4</v>
      </c>
      <c r="P2" s="1">
        <v>5</v>
      </c>
      <c r="Q2" s="1">
        <v>6</v>
      </c>
      <c r="S2" s="1">
        <v>1</v>
      </c>
      <c r="T2" s="1">
        <v>2</v>
      </c>
      <c r="U2" s="1">
        <v>3</v>
      </c>
      <c r="V2" s="1">
        <v>4</v>
      </c>
      <c r="W2" s="1">
        <v>5</v>
      </c>
      <c r="X2" s="1">
        <v>6</v>
      </c>
    </row>
    <row r="3" spans="1:25" ht="14.25" customHeight="1">
      <c r="A3" s="1" t="s">
        <v>44</v>
      </c>
      <c r="B3" s="1">
        <v>2000</v>
      </c>
      <c r="C3" s="2">
        <v>100</v>
      </c>
      <c r="E3" s="1">
        <f>$C3*Keuzes!B11</f>
        <v>100</v>
      </c>
      <c r="F3" s="1">
        <f>$C3*Keuzes!C11</f>
        <v>100</v>
      </c>
      <c r="G3" s="1">
        <f>$C3*Keuzes!D11</f>
        <v>100</v>
      </c>
      <c r="H3" s="1">
        <f>$C3*Keuzes!E11</f>
        <v>100</v>
      </c>
      <c r="I3" s="1">
        <f>$C3*Keuzes!F11</f>
        <v>100</v>
      </c>
      <c r="J3" s="1">
        <f>$C3*Keuzes!G11</f>
        <v>100</v>
      </c>
      <c r="L3" s="1">
        <f>$C3*Keuzes!J11</f>
        <v>100</v>
      </c>
      <c r="M3" s="1">
        <f>$C3*Keuzes!K11</f>
        <v>100</v>
      </c>
      <c r="N3" s="1">
        <f>$C3*Keuzes!L11</f>
        <v>100</v>
      </c>
      <c r="O3" s="1">
        <f>$C3*Keuzes!M11</f>
        <v>100</v>
      </c>
      <c r="P3" s="1">
        <f>$C3*Keuzes!N11</f>
        <v>100</v>
      </c>
      <c r="Q3" s="1">
        <f>$C3*Keuzes!O11</f>
        <v>100</v>
      </c>
      <c r="S3" s="1">
        <f>$C3*Keuzes!R11</f>
        <v>100</v>
      </c>
      <c r="T3" s="1">
        <f>$C3*Keuzes!S11</f>
        <v>100</v>
      </c>
      <c r="U3" s="1">
        <f>$C3*Keuzes!T11</f>
        <v>100</v>
      </c>
      <c r="V3" s="1">
        <f>$C3*Keuzes!U11</f>
        <v>100</v>
      </c>
      <c r="W3" s="1">
        <f>$C3*Keuzes!V11</f>
        <v>100</v>
      </c>
      <c r="X3" s="1">
        <f>$C3*Keuzes!W11</f>
        <v>100</v>
      </c>
    </row>
    <row r="4" spans="1:25" ht="14.25" customHeight="1">
      <c r="A4" s="1" t="s">
        <v>45</v>
      </c>
      <c r="C4" s="2">
        <v>1200</v>
      </c>
      <c r="E4" s="1">
        <f>$C4*Keuzes!B12</f>
        <v>3600</v>
      </c>
      <c r="F4" s="1">
        <f>$C4*Keuzes!C12</f>
        <v>3600</v>
      </c>
      <c r="G4" s="1">
        <f>$C4*Keuzes!D12</f>
        <v>3600</v>
      </c>
      <c r="H4" s="1">
        <f>$C4*Keuzes!E12</f>
        <v>3600</v>
      </c>
      <c r="I4" s="1">
        <f>$C4*Keuzes!F12</f>
        <v>3600</v>
      </c>
      <c r="J4" s="1">
        <f>$C4*Keuzes!G12</f>
        <v>3600</v>
      </c>
      <c r="L4" s="1">
        <f>$C4*Keuzes!J12</f>
        <v>3600</v>
      </c>
      <c r="M4" s="1">
        <f>$C4*Keuzes!K12</f>
        <v>3600</v>
      </c>
      <c r="N4" s="1">
        <f>$C4*Keuzes!L12</f>
        <v>3600</v>
      </c>
      <c r="O4" s="1">
        <f>$C4*Keuzes!M12</f>
        <v>3600</v>
      </c>
      <c r="P4" s="1">
        <f>$C4*Keuzes!N12</f>
        <v>3600</v>
      </c>
      <c r="Q4" s="1">
        <f>$C4*Keuzes!O12</f>
        <v>3600</v>
      </c>
      <c r="S4" s="1">
        <f>$C4*Keuzes!R12</f>
        <v>3600</v>
      </c>
      <c r="T4" s="1">
        <f>$C4*Keuzes!S12</f>
        <v>3600</v>
      </c>
      <c r="U4" s="1">
        <f>$C4*Keuzes!T12</f>
        <v>3600</v>
      </c>
      <c r="V4" s="1">
        <f>$C4*Keuzes!U12</f>
        <v>3600</v>
      </c>
      <c r="W4" s="1">
        <f>$C4*Keuzes!V12</f>
        <v>3600</v>
      </c>
      <c r="X4" s="1">
        <f>$C4*Keuzes!W12</f>
        <v>3600</v>
      </c>
    </row>
    <row r="5" spans="1:25" ht="14.25" customHeight="1">
      <c r="A5" s="1" t="s">
        <v>71</v>
      </c>
      <c r="C5" s="2">
        <v>1000</v>
      </c>
      <c r="E5" s="1">
        <f>Keuzes!B9*$C$5</f>
        <v>1000</v>
      </c>
      <c r="F5" s="1">
        <f>Keuzes!C9*$C$5</f>
        <v>1000</v>
      </c>
      <c r="G5" s="1">
        <f>Keuzes!D9*$C$5</f>
        <v>1000</v>
      </c>
      <c r="H5" s="1">
        <f>Keuzes!E9*$C$5</f>
        <v>1000</v>
      </c>
      <c r="I5" s="1">
        <f>Keuzes!F9*$C$5</f>
        <v>1000</v>
      </c>
      <c r="J5" s="1">
        <f>Keuzes!G9*$C$5</f>
        <v>1000</v>
      </c>
      <c r="L5" s="1">
        <f>Keuzes!J9*$C$5</f>
        <v>1000</v>
      </c>
      <c r="M5" s="1">
        <f>Keuzes!K9*$C$5</f>
        <v>1000</v>
      </c>
      <c r="N5" s="1">
        <f>Keuzes!L9*$C$5</f>
        <v>1000</v>
      </c>
      <c r="O5" s="1">
        <f>Keuzes!M9*$C$5</f>
        <v>1000</v>
      </c>
      <c r="P5" s="1">
        <f>Keuzes!N9*$C$5</f>
        <v>1000</v>
      </c>
      <c r="Q5" s="1">
        <f>Keuzes!O9*$C$5</f>
        <v>1000</v>
      </c>
      <c r="S5" s="1">
        <f>Keuzes!R9*$C$5</f>
        <v>1000</v>
      </c>
      <c r="T5" s="1">
        <f>Keuzes!S9*$C$5</f>
        <v>1000</v>
      </c>
      <c r="U5" s="1">
        <f>Keuzes!T9*$C$5</f>
        <v>1000</v>
      </c>
      <c r="V5" s="1">
        <f>Keuzes!U9*$C$5</f>
        <v>1000</v>
      </c>
      <c r="W5" s="1">
        <f>Keuzes!V9*$C$5</f>
        <v>1000</v>
      </c>
      <c r="X5" s="1">
        <f>Keuzes!W9*$C$5</f>
        <v>1000</v>
      </c>
    </row>
    <row r="6" spans="1:25" ht="14.25" customHeight="1">
      <c r="A6" s="1" t="s">
        <v>72</v>
      </c>
      <c r="B6" s="1">
        <v>1000</v>
      </c>
      <c r="C6" s="2">
        <v>250</v>
      </c>
      <c r="E6" s="3">
        <f>Keuzes!B10*$C$6</f>
        <v>0</v>
      </c>
      <c r="F6" s="3">
        <f>Keuzes!C10*$C$6</f>
        <v>0</v>
      </c>
      <c r="G6" s="3">
        <f>Keuzes!D10*$C$6</f>
        <v>0</v>
      </c>
      <c r="H6" s="3">
        <f>Keuzes!E10*$C$6</f>
        <v>0</v>
      </c>
      <c r="I6" s="3">
        <f>Keuzes!F10*$C$6</f>
        <v>0</v>
      </c>
      <c r="J6" s="3">
        <f>Keuzes!G10*$C$6</f>
        <v>0</v>
      </c>
      <c r="L6" s="3">
        <f>Keuzes!J10*$C$6</f>
        <v>0</v>
      </c>
      <c r="M6" s="3">
        <f>Keuzes!K10*$C$6</f>
        <v>0</v>
      </c>
      <c r="N6" s="3">
        <f>Keuzes!L10*$C$6</f>
        <v>0</v>
      </c>
      <c r="O6" s="3">
        <f>Keuzes!M10*$C$6</f>
        <v>0</v>
      </c>
      <c r="P6" s="3">
        <f>Keuzes!N10*$C$6</f>
        <v>0</v>
      </c>
      <c r="Q6" s="3">
        <f>Keuzes!O10*$C$6</f>
        <v>0</v>
      </c>
      <c r="S6" s="3">
        <f>Keuzes!R10*$C$6</f>
        <v>0</v>
      </c>
      <c r="T6" s="3">
        <f>Keuzes!S10*$C$6</f>
        <v>0</v>
      </c>
      <c r="U6" s="3">
        <f>Keuzes!T10*$C$6</f>
        <v>0</v>
      </c>
      <c r="V6" s="3">
        <f>Keuzes!U10*$C$6</f>
        <v>0</v>
      </c>
      <c r="W6" s="3">
        <f>Keuzes!V10*$C$6</f>
        <v>0</v>
      </c>
      <c r="X6" s="3">
        <f>Keuzes!W10*$C$6</f>
        <v>0</v>
      </c>
      <c r="Y6" s="3"/>
    </row>
    <row r="7" spans="1:25" ht="14.25" customHeight="1">
      <c r="A7" s="1" t="s">
        <v>17</v>
      </c>
      <c r="E7" s="6">
        <f>'QV en TO ronde 1'!L44*Keuzes!B5</f>
        <v>3000</v>
      </c>
      <c r="F7" s="6">
        <f>'QV en TO ronde 1'!M44*Keuzes!C5</f>
        <v>3000</v>
      </c>
      <c r="G7" s="6">
        <f>'QV en TO ronde 1'!N44*Keuzes!D5</f>
        <v>3000</v>
      </c>
      <c r="H7" s="6">
        <f>'QV en TO ronde 1'!O44*Keuzes!E5</f>
        <v>3000</v>
      </c>
      <c r="I7" s="6">
        <f>'QV en TO ronde 1'!P44*Keuzes!F5</f>
        <v>3000</v>
      </c>
      <c r="J7" s="6">
        <f>'QV en TO ronde 1'!Q44*Keuzes!G5</f>
        <v>3000</v>
      </c>
      <c r="K7" s="6"/>
      <c r="L7" s="75">
        <f>'QV en TO ronde 2'!L43*Keuzes!J5</f>
        <v>3000</v>
      </c>
      <c r="M7" s="75">
        <f>'QV en TO ronde 2'!M43*Keuzes!K5</f>
        <v>3000</v>
      </c>
      <c r="N7" s="75">
        <f>'QV en TO ronde 2'!N43*Keuzes!L5</f>
        <v>3000</v>
      </c>
      <c r="O7" s="75">
        <f>'QV en TO ronde 2'!O43*Keuzes!M5</f>
        <v>3000</v>
      </c>
      <c r="P7" s="75">
        <f>'QV en TO ronde 2'!P43*Keuzes!N5</f>
        <v>3000</v>
      </c>
      <c r="Q7" s="75">
        <f>'QV en TO ronde 2'!Q43*Keuzes!O5</f>
        <v>3000</v>
      </c>
      <c r="S7" s="76">
        <f>'QV en TO ronde 3'!L43*Keuzes!R5</f>
        <v>3000</v>
      </c>
      <c r="T7" s="76">
        <f>'QV en TO ronde 3'!M43*Keuzes!S5</f>
        <v>3000</v>
      </c>
      <c r="U7" s="76">
        <f>'QV en TO ronde 3'!N43*Keuzes!T5</f>
        <v>3000</v>
      </c>
      <c r="V7" s="76">
        <f>'QV en TO ronde 3'!O43*Keuzes!U5</f>
        <v>3000</v>
      </c>
      <c r="W7" s="76">
        <f>'QV en TO ronde 3'!P43*Keuzes!V5</f>
        <v>3000</v>
      </c>
      <c r="X7" s="76">
        <f>'QV en TO ronde 3'!Q43*Keuzes!W5</f>
        <v>3000</v>
      </c>
      <c r="Y7" s="76"/>
    </row>
    <row r="8" spans="1:25" ht="14.25" customHeight="1">
      <c r="A8" s="1" t="s">
        <v>20</v>
      </c>
      <c r="E8" s="1">
        <f>IF(Keuzes!B7=1,1000,IF(Keuzes!B7=2,2000,IF(Keuzes!B7=3,3000,0)))</f>
        <v>0</v>
      </c>
      <c r="F8" s="1">
        <f>IF(Keuzes!C7=1,1000,IF(Keuzes!C7=2,2000,IF(Keuzes!C7=3,3000,0)))</f>
        <v>0</v>
      </c>
      <c r="G8" s="1">
        <f>IF(Keuzes!D7=1,1000,IF(Keuzes!D7=2,2000,IF(Keuzes!D7=3,3000,0)))</f>
        <v>0</v>
      </c>
      <c r="H8" s="1">
        <f>IF(Keuzes!E7=1,1000,IF(Keuzes!E7=2,2000,IF(Keuzes!E7=3,3000,0)))</f>
        <v>0</v>
      </c>
      <c r="I8" s="1">
        <f>IF(Keuzes!F7=1,1000,IF(Keuzes!F7=2,2000,IF(Keuzes!F7=3,3000,0)))</f>
        <v>0</v>
      </c>
      <c r="J8" s="1">
        <f>IF(Keuzes!G7=1,1000,IF(Keuzes!G7=2,2000,IF(Keuzes!G7=3,3000,0)))</f>
        <v>0</v>
      </c>
      <c r="L8" s="1">
        <f>IF(Keuzes!J7=1,1000,IF(Keuzes!J7=2,2000,IF(Keuzes!J7=3,3000,0)))</f>
        <v>0</v>
      </c>
      <c r="M8" s="1">
        <f>IF(Keuzes!K7=1,1000,IF(Keuzes!K7=2,2000,IF(Keuzes!K7=3,3000,0)))</f>
        <v>0</v>
      </c>
      <c r="N8" s="1">
        <f>IF(Keuzes!L7=1,1000,IF(Keuzes!L7=2,2000,IF(Keuzes!L7=3,3000,0)))</f>
        <v>0</v>
      </c>
      <c r="O8" s="1">
        <f>IF(Keuzes!M7=1,1000,IF(Keuzes!M7=2,2000,IF(Keuzes!M7=3,3000,0)))</f>
        <v>0</v>
      </c>
      <c r="P8" s="1">
        <f>IF(Keuzes!N7=1,1000,IF(Keuzes!N7=2,2000,IF(Keuzes!N7=3,3000,0)))</f>
        <v>0</v>
      </c>
      <c r="Q8" s="1">
        <f>IF(Keuzes!O7=1,1000,IF(Keuzes!O7=2,2000,IF(Keuzes!O7=3,3000,0)))</f>
        <v>0</v>
      </c>
      <c r="S8" s="1">
        <f>IF(Keuzes!R7=1,1000,IF(Keuzes!R7=2,2000,IF(Keuzes!R7=3,3000,0)))</f>
        <v>0</v>
      </c>
      <c r="T8" s="1">
        <f>IF(Keuzes!S7=1,1000,IF(Keuzes!S7=2,2000,IF(Keuzes!S7=3,3000,0)))</f>
        <v>0</v>
      </c>
      <c r="U8" s="1">
        <f>IF(Keuzes!T7=1,1000,IF(Keuzes!T7=2,2000,IF(Keuzes!T7=3,3000,0)))</f>
        <v>0</v>
      </c>
      <c r="V8" s="1">
        <f>IF(Keuzes!U7=1,1000,IF(Keuzes!U7=2,2000,IF(Keuzes!U7=3,3000,0)))</f>
        <v>0</v>
      </c>
      <c r="W8" s="1">
        <f>IF(Keuzes!V7=1,1000,IF(Keuzes!V7=2,2000,IF(Keuzes!V7=3,3000,0)))</f>
        <v>0</v>
      </c>
      <c r="X8" s="1">
        <f>IF(Keuzes!W7=1,1000,IF(Keuzes!W7=2,2000,IF(Keuzes!W7=3,3000,0)))</f>
        <v>0</v>
      </c>
    </row>
    <row r="9" spans="1:25" ht="14.25" customHeight="1"/>
    <row r="10" spans="1:25" ht="14.25" customHeight="1">
      <c r="A10" s="2" t="s">
        <v>59</v>
      </c>
      <c r="E10" s="6">
        <f t="shared" ref="E10:J10" si="0">E3+E4+E5+E6+E8</f>
        <v>4700</v>
      </c>
      <c r="F10" s="6">
        <f t="shared" si="0"/>
        <v>4700</v>
      </c>
      <c r="G10" s="6">
        <f t="shared" si="0"/>
        <v>4700</v>
      </c>
      <c r="H10" s="6">
        <f t="shared" si="0"/>
        <v>4700</v>
      </c>
      <c r="I10" s="6">
        <f t="shared" si="0"/>
        <v>4700</v>
      </c>
      <c r="J10" s="6">
        <f t="shared" si="0"/>
        <v>4700</v>
      </c>
      <c r="L10" s="6">
        <f t="shared" ref="L10:Q10" si="1">L3+L4+L5+L6+L8</f>
        <v>4700</v>
      </c>
      <c r="M10" s="6">
        <f t="shared" si="1"/>
        <v>4700</v>
      </c>
      <c r="N10" s="6">
        <f t="shared" si="1"/>
        <v>4700</v>
      </c>
      <c r="O10" s="6">
        <f t="shared" si="1"/>
        <v>4700</v>
      </c>
      <c r="P10" s="6">
        <f t="shared" si="1"/>
        <v>4700</v>
      </c>
      <c r="Q10" s="6">
        <f t="shared" si="1"/>
        <v>4700</v>
      </c>
      <c r="S10" s="6">
        <f t="shared" ref="S10:X10" si="2">S3+S4+S5+S6+S8</f>
        <v>4700</v>
      </c>
      <c r="T10" s="6">
        <f t="shared" si="2"/>
        <v>4700</v>
      </c>
      <c r="U10" s="6">
        <f t="shared" si="2"/>
        <v>4700</v>
      </c>
      <c r="V10" s="6">
        <f t="shared" si="2"/>
        <v>4700</v>
      </c>
      <c r="W10" s="6">
        <f t="shared" si="2"/>
        <v>4700</v>
      </c>
      <c r="X10" s="6">
        <f t="shared" si="2"/>
        <v>4700</v>
      </c>
    </row>
    <row r="11" spans="1:25" ht="14.25" customHeight="1">
      <c r="A11" s="2" t="s">
        <v>60</v>
      </c>
      <c r="E11" s="3">
        <f t="shared" ref="E11:J11" si="3">E7</f>
        <v>3000</v>
      </c>
      <c r="F11" s="3">
        <f t="shared" si="3"/>
        <v>3000</v>
      </c>
      <c r="G11" s="3">
        <f t="shared" si="3"/>
        <v>3000</v>
      </c>
      <c r="H11" s="3">
        <f t="shared" si="3"/>
        <v>3000</v>
      </c>
      <c r="I11" s="3">
        <f t="shared" si="3"/>
        <v>3000</v>
      </c>
      <c r="J11" s="3">
        <f t="shared" si="3"/>
        <v>3000</v>
      </c>
      <c r="L11" s="3">
        <f t="shared" ref="L11:Q11" si="4">L7</f>
        <v>3000</v>
      </c>
      <c r="M11" s="3">
        <f t="shared" si="4"/>
        <v>3000</v>
      </c>
      <c r="N11" s="3">
        <f t="shared" si="4"/>
        <v>3000</v>
      </c>
      <c r="O11" s="3">
        <f t="shared" si="4"/>
        <v>3000</v>
      </c>
      <c r="P11" s="3">
        <f t="shared" si="4"/>
        <v>3000</v>
      </c>
      <c r="Q11" s="3">
        <f t="shared" si="4"/>
        <v>3000</v>
      </c>
      <c r="S11" s="3">
        <f t="shared" ref="S11:X11" si="5">S7</f>
        <v>3000</v>
      </c>
      <c r="T11" s="3">
        <f t="shared" si="5"/>
        <v>3000</v>
      </c>
      <c r="U11" s="3">
        <f t="shared" si="5"/>
        <v>3000</v>
      </c>
      <c r="V11" s="3">
        <f t="shared" si="5"/>
        <v>3000</v>
      </c>
      <c r="W11" s="3">
        <f t="shared" si="5"/>
        <v>3000</v>
      </c>
      <c r="X11" s="3">
        <f t="shared" si="5"/>
        <v>3000</v>
      </c>
      <c r="Y11" s="3"/>
    </row>
    <row r="12" spans="1:25" ht="14.25" customHeight="1"/>
    <row r="13" spans="1:25" ht="14.25" customHeight="1">
      <c r="A13" s="2" t="s">
        <v>39</v>
      </c>
    </row>
    <row r="14" spans="1:25" ht="14.25" customHeight="1">
      <c r="B14" s="1" t="s">
        <v>68</v>
      </c>
      <c r="C14" s="1" t="s">
        <v>69</v>
      </c>
      <c r="D14" s="1" t="s">
        <v>70</v>
      </c>
      <c r="E14" s="1">
        <v>1</v>
      </c>
      <c r="F14" s="1">
        <v>2</v>
      </c>
      <c r="G14" s="1">
        <v>3</v>
      </c>
      <c r="H14" s="1">
        <v>4</v>
      </c>
      <c r="I14" s="1">
        <v>5</v>
      </c>
      <c r="J14" s="1">
        <v>6</v>
      </c>
      <c r="L14" s="1">
        <v>1</v>
      </c>
      <c r="M14" s="1">
        <v>2</v>
      </c>
      <c r="N14" s="1">
        <v>3</v>
      </c>
      <c r="O14" s="1">
        <v>4</v>
      </c>
      <c r="P14" s="1">
        <v>5</v>
      </c>
      <c r="Q14" s="1">
        <v>6</v>
      </c>
      <c r="S14" s="1">
        <v>1</v>
      </c>
      <c r="T14" s="1">
        <v>2</v>
      </c>
      <c r="U14" s="1">
        <v>3</v>
      </c>
      <c r="V14" s="1">
        <v>4</v>
      </c>
      <c r="W14" s="1">
        <v>5</v>
      </c>
      <c r="X14" s="1">
        <v>6</v>
      </c>
    </row>
    <row r="15" spans="1:25" ht="14.25" customHeight="1">
      <c r="A15" s="1" t="s">
        <v>44</v>
      </c>
      <c r="B15" s="1">
        <v>2000</v>
      </c>
      <c r="C15" s="2">
        <v>100</v>
      </c>
      <c r="E15" s="1">
        <f>$C15*Keuzes!B25</f>
        <v>100</v>
      </c>
      <c r="F15" s="1">
        <f>$C15*Keuzes!C25</f>
        <v>100</v>
      </c>
      <c r="G15" s="1">
        <f>$C15*Keuzes!D25</f>
        <v>100</v>
      </c>
      <c r="H15" s="1">
        <f>$C15*Keuzes!E25</f>
        <v>100</v>
      </c>
      <c r="I15" s="1">
        <f>$C15*Keuzes!F25</f>
        <v>100</v>
      </c>
      <c r="J15" s="1">
        <f>$C15*Keuzes!G25</f>
        <v>100</v>
      </c>
      <c r="L15" s="1">
        <f>$C15*Keuzes!J25</f>
        <v>100</v>
      </c>
      <c r="M15" s="1">
        <f>$C15*Keuzes!K25</f>
        <v>100</v>
      </c>
      <c r="N15" s="1">
        <f>$C15*Keuzes!L25</f>
        <v>100</v>
      </c>
      <c r="O15" s="1">
        <f>$C15*Keuzes!M25</f>
        <v>100</v>
      </c>
      <c r="P15" s="1">
        <f>$C15*Keuzes!N25</f>
        <v>100</v>
      </c>
      <c r="Q15" s="1">
        <f>$C15*Keuzes!O25</f>
        <v>100</v>
      </c>
      <c r="S15" s="1">
        <f>$C15*Keuzes!R25</f>
        <v>100</v>
      </c>
      <c r="T15" s="1">
        <f>$C15*Keuzes!S25</f>
        <v>100</v>
      </c>
      <c r="U15" s="1">
        <f>$C15*Keuzes!T25</f>
        <v>100</v>
      </c>
      <c r="V15" s="1">
        <f>$C15*Keuzes!U25</f>
        <v>100</v>
      </c>
      <c r="W15" s="1">
        <f>$C15*Keuzes!V25</f>
        <v>100</v>
      </c>
      <c r="X15" s="1">
        <f>$C15*Keuzes!W25</f>
        <v>100</v>
      </c>
    </row>
    <row r="16" spans="1:25" ht="14.25" customHeight="1">
      <c r="A16" s="1" t="s">
        <v>45</v>
      </c>
      <c r="C16" s="2">
        <v>1200</v>
      </c>
      <c r="E16" s="1">
        <f>$C16*Keuzes!B26</f>
        <v>3600</v>
      </c>
      <c r="F16" s="1">
        <f>$C16*Keuzes!C26</f>
        <v>3600</v>
      </c>
      <c r="G16" s="1">
        <f>$C16*Keuzes!D26</f>
        <v>3600</v>
      </c>
      <c r="H16" s="1">
        <f>$C16*Keuzes!E26</f>
        <v>3600</v>
      </c>
      <c r="I16" s="1">
        <f>$C16*Keuzes!F26</f>
        <v>3600</v>
      </c>
      <c r="J16" s="1">
        <f>$C16*Keuzes!G26</f>
        <v>3600</v>
      </c>
      <c r="L16" s="1">
        <f>$C16*Keuzes!J26</f>
        <v>3600</v>
      </c>
      <c r="M16" s="1">
        <f>$C16*Keuzes!K26</f>
        <v>3600</v>
      </c>
      <c r="N16" s="1">
        <f>$C16*Keuzes!L26</f>
        <v>3600</v>
      </c>
      <c r="O16" s="1">
        <f>$C16*Keuzes!M26</f>
        <v>3600</v>
      </c>
      <c r="P16" s="1">
        <f>$C16*Keuzes!N26</f>
        <v>3600</v>
      </c>
      <c r="Q16" s="1">
        <f>$C16*Keuzes!O26</f>
        <v>3600</v>
      </c>
      <c r="S16" s="1">
        <f>$C16*Keuzes!R26</f>
        <v>3600</v>
      </c>
      <c r="T16" s="1">
        <f>$C16*Keuzes!S26</f>
        <v>3600</v>
      </c>
      <c r="U16" s="1">
        <f>$C16*Keuzes!T26</f>
        <v>3600</v>
      </c>
      <c r="V16" s="1">
        <f>$C16*Keuzes!U26</f>
        <v>3600</v>
      </c>
      <c r="W16" s="1">
        <f>$C16*Keuzes!V26</f>
        <v>3600</v>
      </c>
      <c r="X16" s="1">
        <f>$C16*Keuzes!W26</f>
        <v>3600</v>
      </c>
    </row>
    <row r="17" spans="1:24" ht="14.25" customHeight="1">
      <c r="A17" s="1" t="s">
        <v>71</v>
      </c>
      <c r="C17" s="2">
        <v>1000</v>
      </c>
      <c r="E17" s="1">
        <f>Keuzes!B23*$C$5</f>
        <v>1000</v>
      </c>
      <c r="F17" s="1">
        <f>Keuzes!C23*$C$5</f>
        <v>1000</v>
      </c>
      <c r="G17" s="1">
        <f>Keuzes!D23*$C$5</f>
        <v>1000</v>
      </c>
      <c r="H17" s="1">
        <f>Keuzes!E23*$C$5</f>
        <v>1000</v>
      </c>
      <c r="I17" s="1">
        <f>Keuzes!F23*$C$5</f>
        <v>1000</v>
      </c>
      <c r="J17" s="1">
        <f>Keuzes!G23*$C$5</f>
        <v>1000</v>
      </c>
      <c r="L17" s="1">
        <f>Keuzes!J23*$C$5</f>
        <v>1000</v>
      </c>
      <c r="M17" s="1">
        <f>Keuzes!K23*$C$5</f>
        <v>1000</v>
      </c>
      <c r="N17" s="1">
        <f>Keuzes!L23*$C$5</f>
        <v>1000</v>
      </c>
      <c r="O17" s="1">
        <f>Keuzes!M23*$C$5</f>
        <v>1000</v>
      </c>
      <c r="P17" s="1">
        <f>Keuzes!N23*$C$5</f>
        <v>1000</v>
      </c>
      <c r="Q17" s="1">
        <f>Keuzes!O23*$C$5</f>
        <v>1000</v>
      </c>
      <c r="S17" s="1">
        <f>Keuzes!R23*$C$5</f>
        <v>1000</v>
      </c>
      <c r="T17" s="1">
        <f>Keuzes!S23*$C$5</f>
        <v>1000</v>
      </c>
      <c r="U17" s="1">
        <f>Keuzes!T23*$C$5</f>
        <v>1000</v>
      </c>
      <c r="V17" s="1">
        <f>Keuzes!U23*$C$5</f>
        <v>1000</v>
      </c>
      <c r="W17" s="1">
        <f>Keuzes!V23*$C$5</f>
        <v>1000</v>
      </c>
      <c r="X17" s="1">
        <f>Keuzes!W23*$C$5</f>
        <v>1000</v>
      </c>
    </row>
    <row r="18" spans="1:24" ht="14.25" customHeight="1">
      <c r="A18" s="1" t="s">
        <v>72</v>
      </c>
      <c r="B18" s="1">
        <v>1000</v>
      </c>
      <c r="C18" s="2">
        <v>250</v>
      </c>
      <c r="E18" s="3">
        <f>Keuzes!B24*$C$6</f>
        <v>0</v>
      </c>
      <c r="F18" s="3">
        <f>Keuzes!C24*$C$6</f>
        <v>0</v>
      </c>
      <c r="G18" s="3">
        <f>Keuzes!D24*$C$6</f>
        <v>0</v>
      </c>
      <c r="H18" s="3">
        <f>Keuzes!E24*$C$6</f>
        <v>0</v>
      </c>
      <c r="I18" s="3">
        <f>Keuzes!F24*$C$6</f>
        <v>0</v>
      </c>
      <c r="J18" s="3">
        <f>Keuzes!G24*$C$6</f>
        <v>0</v>
      </c>
      <c r="L18" s="3">
        <f>Keuzes!J24*$C$6</f>
        <v>0</v>
      </c>
      <c r="M18" s="3">
        <f>Keuzes!K24*$C$6</f>
        <v>0</v>
      </c>
      <c r="N18" s="3">
        <f>Keuzes!L24*$C$6</f>
        <v>0</v>
      </c>
      <c r="O18" s="3">
        <f>Keuzes!M24*$C$6</f>
        <v>0</v>
      </c>
      <c r="P18" s="3">
        <f>Keuzes!N24*$C$6</f>
        <v>0</v>
      </c>
      <c r="Q18" s="3">
        <f>Keuzes!O24*$C$6</f>
        <v>0</v>
      </c>
      <c r="S18" s="3">
        <f>Keuzes!R24*$C$6</f>
        <v>0</v>
      </c>
      <c r="T18" s="3">
        <f>Keuzes!S24*$C$6</f>
        <v>0</v>
      </c>
      <c r="U18" s="3">
        <f>Keuzes!T24*$C$6</f>
        <v>0</v>
      </c>
      <c r="V18" s="3">
        <f>Keuzes!U24*$C$6</f>
        <v>0</v>
      </c>
      <c r="W18" s="3">
        <f>Keuzes!V24*$C$6</f>
        <v>0</v>
      </c>
      <c r="X18" s="3">
        <f>Keuzes!W24*$C$6</f>
        <v>0</v>
      </c>
    </row>
    <row r="19" spans="1:24" ht="14.25" customHeight="1">
      <c r="A19" s="1" t="s">
        <v>17</v>
      </c>
      <c r="E19" s="6">
        <f>'QV en TO ronde 4'!L43*Keuzes!B19</f>
        <v>3000</v>
      </c>
      <c r="F19" s="6">
        <f>'QV en TO ronde 4'!M43*Keuzes!C19</f>
        <v>3000</v>
      </c>
      <c r="G19" s="6">
        <f>'QV en TO ronde 4'!N43*Keuzes!D19</f>
        <v>3000</v>
      </c>
      <c r="H19" s="6">
        <f>'QV en TO ronde 4'!O43*Keuzes!E19</f>
        <v>3000</v>
      </c>
      <c r="I19" s="6">
        <f>'QV en TO ronde 4'!P43*Keuzes!F19</f>
        <v>3000</v>
      </c>
      <c r="J19" s="6">
        <f>'QV en TO ronde 4'!Q43*Keuzes!G19</f>
        <v>3000</v>
      </c>
      <c r="L19" s="77">
        <f>'QV en TO ronde 5'!L43*Keuzes!J19</f>
        <v>3000</v>
      </c>
      <c r="M19" s="77">
        <f>'QV en TO ronde 5'!M43*Keuzes!K19</f>
        <v>3000</v>
      </c>
      <c r="N19" s="77">
        <f>'QV en TO ronde 5'!N43*Keuzes!L19</f>
        <v>3000</v>
      </c>
      <c r="O19" s="77">
        <f>'QV en TO ronde 5'!O43*Keuzes!M19</f>
        <v>3000</v>
      </c>
      <c r="P19" s="77">
        <f>'QV en TO ronde 5'!P43*Keuzes!N19</f>
        <v>3000</v>
      </c>
      <c r="Q19" s="77">
        <f>'QV en TO ronde 5'!Q43*Keuzes!O19</f>
        <v>3000</v>
      </c>
      <c r="R19" s="78"/>
      <c r="S19" s="77">
        <f>'QV en TO ronde 6'!L43*Keuzes!R19</f>
        <v>3000</v>
      </c>
      <c r="T19" s="77">
        <f>'QV en TO ronde 6'!M43*Keuzes!S19</f>
        <v>3000</v>
      </c>
      <c r="U19" s="77">
        <f>'QV en TO ronde 6'!N43*Keuzes!T19</f>
        <v>3000</v>
      </c>
      <c r="V19" s="77">
        <f>'QV en TO ronde 6'!O43*Keuzes!U19</f>
        <v>3000</v>
      </c>
      <c r="W19" s="77">
        <f>'QV en TO ronde 6'!P43*Keuzes!V19</f>
        <v>3000</v>
      </c>
      <c r="X19" s="77">
        <f>'QV en TO ronde 6'!Q43*Keuzes!W19</f>
        <v>3000</v>
      </c>
    </row>
    <row r="20" spans="1:24" ht="14.25" customHeight="1">
      <c r="A20" s="1" t="s">
        <v>20</v>
      </c>
      <c r="E20" s="1">
        <f>IF(Keuzes!B21=1,1000,IF(Keuzes!B21=2,2000,IF(Keuzes!B21=3,3000,0)))</f>
        <v>0</v>
      </c>
      <c r="F20" s="1">
        <f>IF(Keuzes!C21=1,1000,IF(Keuzes!C21=2,2000,IF(Keuzes!C21=3,3000,0)))</f>
        <v>0</v>
      </c>
      <c r="G20" s="1">
        <f>IF(Keuzes!D21=1,1000,IF(Keuzes!D21=2,2000,IF(Keuzes!D21=3,3000,0)))</f>
        <v>0</v>
      </c>
      <c r="H20" s="1">
        <f>IF(Keuzes!E21=1,1000,IF(Keuzes!E21=2,2000,IF(Keuzes!E21=3,3000,0)))</f>
        <v>0</v>
      </c>
      <c r="I20" s="1">
        <f>IF(Keuzes!F21=1,1000,IF(Keuzes!F21=2,2000,IF(Keuzes!F21=3,3000,0)))</f>
        <v>0</v>
      </c>
      <c r="J20" s="1">
        <f>IF(Keuzes!G21=1,1000,IF(Keuzes!G21=2,2000,IF(Keuzes!G21=3,3000,0)))</f>
        <v>0</v>
      </c>
      <c r="L20" s="1">
        <f>IF(Keuzes!J21=1,1000,IF(Keuzes!J21=2,2000,IF(Keuzes!J21=3,3000,0)))</f>
        <v>0</v>
      </c>
      <c r="M20" s="1">
        <f>IF(Keuzes!K21=1,1000,IF(Keuzes!K21=2,2000,IF(Keuzes!K21=3,3000,0)))</f>
        <v>0</v>
      </c>
      <c r="N20" s="1">
        <f>IF(Keuzes!L21=1,1000,IF(Keuzes!L21=2,2000,IF(Keuzes!L21=3,3000,0)))</f>
        <v>0</v>
      </c>
      <c r="O20" s="1">
        <f>IF(Keuzes!M21=1,1000,IF(Keuzes!M21=2,2000,IF(Keuzes!M21=3,3000,0)))</f>
        <v>0</v>
      </c>
      <c r="P20" s="1">
        <f>IF(Keuzes!N21=1,1000,IF(Keuzes!N21=2,2000,IF(Keuzes!N21=3,3000,0)))</f>
        <v>0</v>
      </c>
      <c r="Q20" s="1">
        <f>IF(Keuzes!O21=1,1000,IF(Keuzes!O21=2,2000,IF(Keuzes!O21=3,3000,0)))</f>
        <v>0</v>
      </c>
      <c r="S20" s="1">
        <f>IF(Keuzes!R21=1,1000,IF(Keuzes!R21=2,2000,IF(Keuzes!R21=3,3000,0)))</f>
        <v>0</v>
      </c>
      <c r="T20" s="1">
        <f>IF(Keuzes!S21=1,1000,IF(Keuzes!S21=2,2000,IF(Keuzes!S21=3,3000,0)))</f>
        <v>0</v>
      </c>
      <c r="U20" s="1">
        <f>IF(Keuzes!T21=1,1000,IF(Keuzes!T21=2,2000,IF(Keuzes!T21=3,3000,0)))</f>
        <v>0</v>
      </c>
      <c r="V20" s="1">
        <f>IF(Keuzes!U21=1,1000,IF(Keuzes!U21=2,2000,IF(Keuzes!U21=3,3000,0)))</f>
        <v>0</v>
      </c>
      <c r="W20" s="1">
        <f>IF(Keuzes!V21=1,1000,IF(Keuzes!V21=2,2000,IF(Keuzes!V21=3,3000,0)))</f>
        <v>0</v>
      </c>
      <c r="X20" s="1">
        <f>IF(Keuzes!W21=1,1000,IF(Keuzes!W21=2,2000,IF(Keuzes!W21=3,3000,0)))</f>
        <v>0</v>
      </c>
    </row>
    <row r="21" spans="1:24" ht="14.25" customHeight="1"/>
    <row r="22" spans="1:24" ht="14.25" customHeight="1">
      <c r="A22" s="2" t="s">
        <v>59</v>
      </c>
      <c r="E22" s="6">
        <f t="shared" ref="E22:J22" si="6">E15+E16+E17+E18+E20</f>
        <v>4700</v>
      </c>
      <c r="F22" s="6">
        <f t="shared" si="6"/>
        <v>4700</v>
      </c>
      <c r="G22" s="6">
        <f t="shared" si="6"/>
        <v>4700</v>
      </c>
      <c r="H22" s="6">
        <f t="shared" si="6"/>
        <v>4700</v>
      </c>
      <c r="I22" s="6">
        <f t="shared" si="6"/>
        <v>4700</v>
      </c>
      <c r="J22" s="6">
        <f t="shared" si="6"/>
        <v>4700</v>
      </c>
      <c r="L22" s="6">
        <f t="shared" ref="L22:Q22" si="7">L15+L16+L17+L18+L20</f>
        <v>4700</v>
      </c>
      <c r="M22" s="6">
        <f t="shared" si="7"/>
        <v>4700</v>
      </c>
      <c r="N22" s="6">
        <f t="shared" si="7"/>
        <v>4700</v>
      </c>
      <c r="O22" s="6">
        <f t="shared" si="7"/>
        <v>4700</v>
      </c>
      <c r="P22" s="6">
        <f t="shared" si="7"/>
        <v>4700</v>
      </c>
      <c r="Q22" s="6">
        <f t="shared" si="7"/>
        <v>4700</v>
      </c>
      <c r="S22" s="6">
        <f t="shared" ref="S22:X22" si="8">S15+S16+S17+S18+S20</f>
        <v>4700</v>
      </c>
      <c r="T22" s="6">
        <f t="shared" si="8"/>
        <v>4700</v>
      </c>
      <c r="U22" s="6">
        <f t="shared" si="8"/>
        <v>4700</v>
      </c>
      <c r="V22" s="6">
        <f t="shared" si="8"/>
        <v>4700</v>
      </c>
      <c r="W22" s="6">
        <f t="shared" si="8"/>
        <v>4700</v>
      </c>
      <c r="X22" s="6">
        <f t="shared" si="8"/>
        <v>4700</v>
      </c>
    </row>
    <row r="23" spans="1:24" ht="14.25" customHeight="1">
      <c r="A23" s="2" t="s">
        <v>60</v>
      </c>
      <c r="E23" s="3">
        <f t="shared" ref="E23:J23" si="9">E19</f>
        <v>3000</v>
      </c>
      <c r="F23" s="3">
        <f t="shared" si="9"/>
        <v>3000</v>
      </c>
      <c r="G23" s="3">
        <f t="shared" si="9"/>
        <v>3000</v>
      </c>
      <c r="H23" s="3">
        <f t="shared" si="9"/>
        <v>3000</v>
      </c>
      <c r="I23" s="3">
        <f t="shared" si="9"/>
        <v>3000</v>
      </c>
      <c r="J23" s="3">
        <f t="shared" si="9"/>
        <v>3000</v>
      </c>
      <c r="L23" s="3">
        <f t="shared" ref="L23:Q23" si="10">L19</f>
        <v>3000</v>
      </c>
      <c r="M23" s="3">
        <f t="shared" si="10"/>
        <v>3000</v>
      </c>
      <c r="N23" s="3">
        <f t="shared" si="10"/>
        <v>3000</v>
      </c>
      <c r="O23" s="3">
        <f t="shared" si="10"/>
        <v>3000</v>
      </c>
      <c r="P23" s="3">
        <f t="shared" si="10"/>
        <v>3000</v>
      </c>
      <c r="Q23" s="3">
        <f t="shared" si="10"/>
        <v>3000</v>
      </c>
      <c r="S23" s="3">
        <f t="shared" ref="S23:X23" si="11">S19</f>
        <v>3000</v>
      </c>
      <c r="T23" s="3">
        <f t="shared" si="11"/>
        <v>3000</v>
      </c>
      <c r="U23" s="3">
        <f t="shared" si="11"/>
        <v>3000</v>
      </c>
      <c r="V23" s="3">
        <f t="shared" si="11"/>
        <v>3000</v>
      </c>
      <c r="W23" s="3">
        <f t="shared" si="11"/>
        <v>3000</v>
      </c>
      <c r="X23" s="3">
        <f t="shared" si="11"/>
        <v>3000</v>
      </c>
    </row>
    <row r="24" spans="1:24" ht="14.25" customHeight="1"/>
    <row r="25" spans="1:24" ht="14.25" customHeight="1"/>
    <row r="26" spans="1:24" ht="14.25" customHeight="1"/>
    <row r="27" spans="1:24" ht="14.25" customHeight="1"/>
    <row r="28" spans="1:24" ht="14.25" customHeight="1"/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000"/>
  <sheetViews>
    <sheetView workbookViewId="0"/>
  </sheetViews>
  <sheetFormatPr defaultColWidth="12.625" defaultRowHeight="15" customHeight="1"/>
  <cols>
    <col min="1" max="1" width="7.625" customWidth="1"/>
    <col min="2" max="2" width="12" customWidth="1"/>
    <col min="3" max="26" width="7.625" customWidth="1"/>
  </cols>
  <sheetData>
    <row r="1" spans="1:24" ht="14.25" customHeight="1">
      <c r="A1" s="2" t="s">
        <v>39</v>
      </c>
      <c r="D1" s="2" t="s">
        <v>39</v>
      </c>
      <c r="J1" s="2" t="s">
        <v>40</v>
      </c>
      <c r="R1" s="2" t="s">
        <v>41</v>
      </c>
    </row>
    <row r="2" spans="1:24" ht="14.25" customHeight="1"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K2" s="1">
        <v>1</v>
      </c>
      <c r="L2" s="1">
        <v>2</v>
      </c>
      <c r="M2" s="1">
        <v>3</v>
      </c>
      <c r="N2" s="1">
        <v>4</v>
      </c>
      <c r="O2" s="1">
        <v>5</v>
      </c>
      <c r="P2" s="1">
        <v>6</v>
      </c>
      <c r="S2" s="1">
        <v>1</v>
      </c>
      <c r="T2" s="1">
        <v>2</v>
      </c>
      <c r="U2" s="1">
        <v>3</v>
      </c>
      <c r="V2" s="1">
        <v>4</v>
      </c>
      <c r="W2" s="1">
        <v>5</v>
      </c>
      <c r="X2" s="1">
        <v>6</v>
      </c>
    </row>
    <row r="3" spans="1:24" ht="14.25" customHeight="1">
      <c r="B3" s="1" t="s">
        <v>73</v>
      </c>
      <c r="C3" s="1">
        <f>Keuzes!B11</f>
        <v>1</v>
      </c>
      <c r="D3" s="1">
        <f>Keuzes!C11</f>
        <v>1</v>
      </c>
      <c r="E3" s="1">
        <f>Keuzes!D11</f>
        <v>1</v>
      </c>
      <c r="F3" s="1">
        <f>Keuzes!E11</f>
        <v>1</v>
      </c>
      <c r="G3" s="1">
        <f>Keuzes!F11</f>
        <v>1</v>
      </c>
      <c r="H3" s="1">
        <f>Keuzes!G11</f>
        <v>1</v>
      </c>
      <c r="J3" s="1" t="s">
        <v>73</v>
      </c>
      <c r="K3" s="1">
        <f>Keuzes!J11</f>
        <v>1</v>
      </c>
      <c r="L3" s="1">
        <f>Keuzes!K11</f>
        <v>1</v>
      </c>
      <c r="M3" s="1">
        <f>Keuzes!L11</f>
        <v>1</v>
      </c>
      <c r="N3" s="1">
        <f>Keuzes!M11</f>
        <v>1</v>
      </c>
      <c r="O3" s="1">
        <f>Keuzes!N11</f>
        <v>1</v>
      </c>
      <c r="P3" s="1">
        <f>Keuzes!O11</f>
        <v>1</v>
      </c>
      <c r="R3" s="1" t="s">
        <v>73</v>
      </c>
      <c r="S3" s="1">
        <f>Keuzes!R11</f>
        <v>1</v>
      </c>
      <c r="T3" s="1">
        <f>Keuzes!S11</f>
        <v>1</v>
      </c>
      <c r="U3" s="1">
        <f>Keuzes!T11</f>
        <v>1</v>
      </c>
      <c r="V3" s="1">
        <f>Keuzes!U11</f>
        <v>1</v>
      </c>
      <c r="W3" s="1">
        <f>Keuzes!V11</f>
        <v>1</v>
      </c>
      <c r="X3" s="1">
        <f>Keuzes!W11</f>
        <v>1</v>
      </c>
    </row>
    <row r="4" spans="1:24" ht="14.25" customHeight="1">
      <c r="A4" s="2">
        <v>2000</v>
      </c>
      <c r="B4" s="1" t="s">
        <v>74</v>
      </c>
      <c r="C4" s="1">
        <f t="shared" ref="C4:H4" si="0">C3*$A$4</f>
        <v>2000</v>
      </c>
      <c r="D4" s="1">
        <f t="shared" si="0"/>
        <v>2000</v>
      </c>
      <c r="E4" s="1">
        <f t="shared" si="0"/>
        <v>2000</v>
      </c>
      <c r="F4" s="1">
        <f t="shared" si="0"/>
        <v>2000</v>
      </c>
      <c r="G4" s="1">
        <f t="shared" si="0"/>
        <v>2000</v>
      </c>
      <c r="H4" s="1">
        <f t="shared" si="0"/>
        <v>2000</v>
      </c>
      <c r="J4" s="1" t="s">
        <v>74</v>
      </c>
      <c r="K4" s="1">
        <f t="shared" ref="K4:P4" si="1">K3*$A$4</f>
        <v>2000</v>
      </c>
      <c r="L4" s="1">
        <f t="shared" si="1"/>
        <v>2000</v>
      </c>
      <c r="M4" s="1">
        <f t="shared" si="1"/>
        <v>2000</v>
      </c>
      <c r="N4" s="1">
        <f t="shared" si="1"/>
        <v>2000</v>
      </c>
      <c r="O4" s="1">
        <f t="shared" si="1"/>
        <v>2000</v>
      </c>
      <c r="P4" s="1">
        <f t="shared" si="1"/>
        <v>2000</v>
      </c>
      <c r="R4" s="1" t="s">
        <v>74</v>
      </c>
      <c r="S4" s="1">
        <f t="shared" ref="S4:X4" si="2">S3*$A$4</f>
        <v>2000</v>
      </c>
      <c r="T4" s="1">
        <f t="shared" si="2"/>
        <v>2000</v>
      </c>
      <c r="U4" s="1">
        <f t="shared" si="2"/>
        <v>2000</v>
      </c>
      <c r="V4" s="1">
        <f t="shared" si="2"/>
        <v>2000</v>
      </c>
      <c r="W4" s="1">
        <f t="shared" si="2"/>
        <v>2000</v>
      </c>
      <c r="X4" s="1">
        <f t="shared" si="2"/>
        <v>2000</v>
      </c>
    </row>
    <row r="5" spans="1:24" ht="14.25" customHeight="1">
      <c r="B5" s="1" t="s">
        <v>45</v>
      </c>
      <c r="C5" s="1">
        <f>Keuzes!B12</f>
        <v>3</v>
      </c>
      <c r="D5" s="1">
        <f>Keuzes!C12</f>
        <v>3</v>
      </c>
      <c r="E5" s="1">
        <f>Keuzes!D12</f>
        <v>3</v>
      </c>
      <c r="F5" s="1">
        <f>Keuzes!E12</f>
        <v>3</v>
      </c>
      <c r="G5" s="1">
        <f>Keuzes!F12</f>
        <v>3</v>
      </c>
      <c r="H5" s="1">
        <f>Keuzes!G12</f>
        <v>3</v>
      </c>
      <c r="J5" s="1" t="s">
        <v>45</v>
      </c>
      <c r="K5" s="1">
        <f>Keuzes!J12</f>
        <v>3</v>
      </c>
      <c r="L5" s="1">
        <f>Keuzes!K12</f>
        <v>3</v>
      </c>
      <c r="M5" s="1">
        <f>Keuzes!L12</f>
        <v>3</v>
      </c>
      <c r="N5" s="1">
        <f>Keuzes!M12</f>
        <v>3</v>
      </c>
      <c r="O5" s="1">
        <f>Keuzes!N12</f>
        <v>3</v>
      </c>
      <c r="P5" s="1">
        <f>Keuzes!O12</f>
        <v>3</v>
      </c>
      <c r="R5" s="1" t="s">
        <v>45</v>
      </c>
      <c r="S5" s="1">
        <f>Keuzes!R12</f>
        <v>3</v>
      </c>
      <c r="T5" s="1">
        <f>Keuzes!S12</f>
        <v>3</v>
      </c>
      <c r="U5" s="1">
        <f>Keuzes!T12</f>
        <v>3</v>
      </c>
      <c r="V5" s="1">
        <f>Keuzes!U12</f>
        <v>3</v>
      </c>
      <c r="W5" s="1">
        <f>Keuzes!V12</f>
        <v>3</v>
      </c>
      <c r="X5" s="1">
        <f>Keuzes!W12</f>
        <v>3</v>
      </c>
    </row>
    <row r="6" spans="1:24" ht="14.25" customHeight="1">
      <c r="A6" s="2">
        <v>500</v>
      </c>
      <c r="B6" s="1" t="s">
        <v>45</v>
      </c>
      <c r="C6" s="1">
        <f t="shared" ref="C6:H6" si="3">C5*$A$6</f>
        <v>1500</v>
      </c>
      <c r="D6" s="1">
        <f t="shared" si="3"/>
        <v>1500</v>
      </c>
      <c r="E6" s="1">
        <f t="shared" si="3"/>
        <v>1500</v>
      </c>
      <c r="F6" s="1">
        <f t="shared" si="3"/>
        <v>1500</v>
      </c>
      <c r="G6" s="1">
        <f t="shared" si="3"/>
        <v>1500</v>
      </c>
      <c r="H6" s="1">
        <f t="shared" si="3"/>
        <v>1500</v>
      </c>
      <c r="J6" s="1" t="s">
        <v>45</v>
      </c>
      <c r="K6" s="1">
        <f t="shared" ref="K6:P6" si="4">K5*$A$6</f>
        <v>1500</v>
      </c>
      <c r="L6" s="1">
        <f t="shared" si="4"/>
        <v>1500</v>
      </c>
      <c r="M6" s="1">
        <f t="shared" si="4"/>
        <v>1500</v>
      </c>
      <c r="N6" s="1">
        <f t="shared" si="4"/>
        <v>1500</v>
      </c>
      <c r="O6" s="1">
        <f t="shared" si="4"/>
        <v>1500</v>
      </c>
      <c r="P6" s="1">
        <f t="shared" si="4"/>
        <v>1500</v>
      </c>
      <c r="R6" s="1" t="s">
        <v>45</v>
      </c>
      <c r="S6" s="1">
        <f t="shared" ref="S6:X6" si="5">S5*$A$6</f>
        <v>1500</v>
      </c>
      <c r="T6" s="1">
        <f t="shared" si="5"/>
        <v>1500</v>
      </c>
      <c r="U6" s="1">
        <f t="shared" si="5"/>
        <v>1500</v>
      </c>
      <c r="V6" s="1">
        <f t="shared" si="5"/>
        <v>1500</v>
      </c>
      <c r="W6" s="1">
        <f t="shared" si="5"/>
        <v>1500</v>
      </c>
      <c r="X6" s="1">
        <f t="shared" si="5"/>
        <v>1500</v>
      </c>
    </row>
    <row r="7" spans="1:24" ht="14.25" customHeight="1">
      <c r="B7" s="1" t="s">
        <v>71</v>
      </c>
      <c r="C7" s="1">
        <f>Keuzes!B9</f>
        <v>1</v>
      </c>
      <c r="D7" s="1">
        <f>Keuzes!C9</f>
        <v>1</v>
      </c>
      <c r="E7" s="1">
        <f>Keuzes!D9</f>
        <v>1</v>
      </c>
      <c r="F7" s="1">
        <f>Keuzes!E9</f>
        <v>1</v>
      </c>
      <c r="G7" s="1">
        <f>Keuzes!F9</f>
        <v>1</v>
      </c>
      <c r="H7" s="1">
        <f>Keuzes!G9</f>
        <v>1</v>
      </c>
      <c r="J7" s="1" t="s">
        <v>71</v>
      </c>
      <c r="K7" s="1">
        <f>Keuzes!J9</f>
        <v>1</v>
      </c>
      <c r="L7" s="1">
        <f>Keuzes!K9</f>
        <v>1</v>
      </c>
      <c r="M7" s="1">
        <f>Keuzes!L9</f>
        <v>1</v>
      </c>
      <c r="N7" s="1">
        <f>Keuzes!M9</f>
        <v>1</v>
      </c>
      <c r="O7" s="1">
        <f>Keuzes!N9</f>
        <v>1</v>
      </c>
      <c r="P7" s="1">
        <f>Keuzes!O9</f>
        <v>1</v>
      </c>
      <c r="R7" s="1" t="s">
        <v>71</v>
      </c>
      <c r="S7" s="1">
        <f>Keuzes!R9</f>
        <v>1</v>
      </c>
      <c r="T7" s="1">
        <f>Keuzes!S9</f>
        <v>1</v>
      </c>
      <c r="U7" s="1">
        <f>Keuzes!T9</f>
        <v>1</v>
      </c>
      <c r="V7" s="1">
        <f>Keuzes!U9</f>
        <v>1</v>
      </c>
      <c r="W7" s="1">
        <f>Keuzes!V9</f>
        <v>1</v>
      </c>
      <c r="X7" s="1">
        <f>Keuzes!W9</f>
        <v>1</v>
      </c>
    </row>
    <row r="8" spans="1:24" ht="14.25" customHeight="1">
      <c r="A8" s="2">
        <v>3000</v>
      </c>
      <c r="B8" s="1" t="s">
        <v>75</v>
      </c>
      <c r="C8" s="1">
        <f t="shared" ref="C8:H8" si="6">C7*$A$8</f>
        <v>3000</v>
      </c>
      <c r="D8" s="1">
        <f t="shared" si="6"/>
        <v>3000</v>
      </c>
      <c r="E8" s="1">
        <f t="shared" si="6"/>
        <v>3000</v>
      </c>
      <c r="F8" s="1">
        <f t="shared" si="6"/>
        <v>3000</v>
      </c>
      <c r="G8" s="1">
        <f t="shared" si="6"/>
        <v>3000</v>
      </c>
      <c r="H8" s="1">
        <f t="shared" si="6"/>
        <v>3000</v>
      </c>
      <c r="J8" s="1" t="s">
        <v>75</v>
      </c>
      <c r="K8" s="1">
        <f t="shared" ref="K8:P8" si="7">K7*$A$8</f>
        <v>3000</v>
      </c>
      <c r="L8" s="1">
        <f t="shared" si="7"/>
        <v>3000</v>
      </c>
      <c r="M8" s="1">
        <f t="shared" si="7"/>
        <v>3000</v>
      </c>
      <c r="N8" s="1">
        <f t="shared" si="7"/>
        <v>3000</v>
      </c>
      <c r="O8" s="1">
        <f t="shared" si="7"/>
        <v>3000</v>
      </c>
      <c r="P8" s="1">
        <f t="shared" si="7"/>
        <v>3000</v>
      </c>
      <c r="R8" s="1" t="s">
        <v>75</v>
      </c>
      <c r="S8" s="1">
        <f t="shared" ref="S8:X8" si="8">S7*$A$8</f>
        <v>3000</v>
      </c>
      <c r="T8" s="1">
        <f t="shared" si="8"/>
        <v>3000</v>
      </c>
      <c r="U8" s="1">
        <f t="shared" si="8"/>
        <v>3000</v>
      </c>
      <c r="V8" s="1">
        <f t="shared" si="8"/>
        <v>3000</v>
      </c>
      <c r="W8" s="1">
        <f t="shared" si="8"/>
        <v>3000</v>
      </c>
      <c r="X8" s="1">
        <f t="shared" si="8"/>
        <v>3000</v>
      </c>
    </row>
    <row r="9" spans="1:24" ht="14.25" customHeight="1">
      <c r="B9" s="1" t="s">
        <v>76</v>
      </c>
      <c r="C9" s="1">
        <f>Keuzes!B10</f>
        <v>0</v>
      </c>
      <c r="D9" s="1">
        <f>Keuzes!C10</f>
        <v>0</v>
      </c>
      <c r="E9" s="1">
        <f>Keuzes!D10</f>
        <v>0</v>
      </c>
      <c r="F9" s="1">
        <f>Keuzes!E10</f>
        <v>0</v>
      </c>
      <c r="G9" s="1">
        <f>Keuzes!F10</f>
        <v>0</v>
      </c>
      <c r="H9" s="1">
        <f>Keuzes!G10</f>
        <v>0</v>
      </c>
      <c r="J9" s="1" t="s">
        <v>76</v>
      </c>
      <c r="K9" s="1">
        <f>Keuzes!J10</f>
        <v>0</v>
      </c>
      <c r="L9" s="1">
        <f>Keuzes!K10</f>
        <v>0</v>
      </c>
      <c r="M9" s="1">
        <f>Keuzes!L10</f>
        <v>0</v>
      </c>
      <c r="N9" s="1">
        <f>Keuzes!M10</f>
        <v>0</v>
      </c>
      <c r="O9" s="1">
        <f>Keuzes!N10</f>
        <v>0</v>
      </c>
      <c r="P9" s="1">
        <f>Keuzes!O10</f>
        <v>0</v>
      </c>
      <c r="R9" s="1" t="s">
        <v>76</v>
      </c>
      <c r="S9" s="1">
        <f>Keuzes!R10</f>
        <v>0</v>
      </c>
      <c r="T9" s="1">
        <f>Keuzes!S10</f>
        <v>0</v>
      </c>
      <c r="U9" s="1">
        <f>Keuzes!T10</f>
        <v>0</v>
      </c>
      <c r="V9" s="1">
        <f>Keuzes!U10</f>
        <v>0</v>
      </c>
      <c r="W9" s="1">
        <f>Keuzes!V10</f>
        <v>0</v>
      </c>
      <c r="X9" s="1">
        <f>Keuzes!W10</f>
        <v>0</v>
      </c>
    </row>
    <row r="10" spans="1:24" ht="14.25" customHeight="1">
      <c r="A10" s="2">
        <v>500</v>
      </c>
      <c r="B10" s="1" t="s">
        <v>72</v>
      </c>
      <c r="C10" s="1">
        <f t="shared" ref="C10:H10" si="9">$A$10*C9</f>
        <v>0</v>
      </c>
      <c r="D10" s="1">
        <f t="shared" si="9"/>
        <v>0</v>
      </c>
      <c r="E10" s="1">
        <f t="shared" si="9"/>
        <v>0</v>
      </c>
      <c r="F10" s="1">
        <f t="shared" si="9"/>
        <v>0</v>
      </c>
      <c r="G10" s="1">
        <f t="shared" si="9"/>
        <v>0</v>
      </c>
      <c r="H10" s="1">
        <f t="shared" si="9"/>
        <v>0</v>
      </c>
      <c r="J10" s="1" t="s">
        <v>72</v>
      </c>
      <c r="K10" s="1">
        <f t="shared" ref="K10:P10" si="10">$A$10*K9</f>
        <v>0</v>
      </c>
      <c r="L10" s="1">
        <f t="shared" si="10"/>
        <v>0</v>
      </c>
      <c r="M10" s="1">
        <f t="shared" si="10"/>
        <v>0</v>
      </c>
      <c r="N10" s="1">
        <f t="shared" si="10"/>
        <v>0</v>
      </c>
      <c r="O10" s="1">
        <f t="shared" si="10"/>
        <v>0</v>
      </c>
      <c r="P10" s="1">
        <f t="shared" si="10"/>
        <v>0</v>
      </c>
      <c r="R10" s="1" t="s">
        <v>72</v>
      </c>
      <c r="S10" s="1">
        <f t="shared" ref="S10:X10" si="11">$A$10*S9</f>
        <v>0</v>
      </c>
      <c r="T10" s="1">
        <f t="shared" si="11"/>
        <v>0</v>
      </c>
      <c r="U10" s="1">
        <f t="shared" si="11"/>
        <v>0</v>
      </c>
      <c r="V10" s="1">
        <f t="shared" si="11"/>
        <v>0</v>
      </c>
      <c r="W10" s="1">
        <f t="shared" si="11"/>
        <v>0</v>
      </c>
      <c r="X10" s="1">
        <f t="shared" si="11"/>
        <v>0</v>
      </c>
    </row>
    <row r="11" spans="1:24" ht="14.25" customHeight="1">
      <c r="B11" s="1" t="s">
        <v>77</v>
      </c>
      <c r="C11" s="1">
        <f t="shared" ref="C11:H11" si="12">C8+C10</f>
        <v>3000</v>
      </c>
      <c r="D11" s="1">
        <f t="shared" si="12"/>
        <v>3000</v>
      </c>
      <c r="E11" s="1">
        <f t="shared" si="12"/>
        <v>3000</v>
      </c>
      <c r="F11" s="1">
        <f t="shared" si="12"/>
        <v>3000</v>
      </c>
      <c r="G11" s="1">
        <f t="shared" si="12"/>
        <v>3000</v>
      </c>
      <c r="H11" s="1">
        <f t="shared" si="12"/>
        <v>3000</v>
      </c>
      <c r="J11" s="1" t="s">
        <v>77</v>
      </c>
      <c r="K11" s="1">
        <f t="shared" ref="K11:P11" si="13">K8+K10</f>
        <v>3000</v>
      </c>
      <c r="L11" s="1">
        <f t="shared" si="13"/>
        <v>3000</v>
      </c>
      <c r="M11" s="1">
        <f t="shared" si="13"/>
        <v>3000</v>
      </c>
      <c r="N11" s="1">
        <f t="shared" si="13"/>
        <v>3000</v>
      </c>
      <c r="O11" s="1">
        <f t="shared" si="13"/>
        <v>3000</v>
      </c>
      <c r="P11" s="1">
        <f t="shared" si="13"/>
        <v>3000</v>
      </c>
      <c r="R11" s="1" t="s">
        <v>77</v>
      </c>
      <c r="S11" s="1">
        <f t="shared" ref="S11:X11" si="14">S8+S10</f>
        <v>3000</v>
      </c>
      <c r="T11" s="1">
        <f t="shared" si="14"/>
        <v>3000</v>
      </c>
      <c r="U11" s="1">
        <f t="shared" si="14"/>
        <v>3000</v>
      </c>
      <c r="V11" s="1">
        <f t="shared" si="14"/>
        <v>3000</v>
      </c>
      <c r="W11" s="1">
        <f t="shared" si="14"/>
        <v>3000</v>
      </c>
      <c r="X11" s="1">
        <f t="shared" si="14"/>
        <v>3000</v>
      </c>
    </row>
    <row r="12" spans="1:24" ht="14.25" customHeight="1"/>
    <row r="13" spans="1:24" ht="14.25" customHeight="1">
      <c r="B13" s="1" t="s">
        <v>52</v>
      </c>
      <c r="C13" s="1">
        <f t="shared" ref="C13:H13" si="15">MIN(C4,C6,C11)</f>
        <v>1500</v>
      </c>
      <c r="D13" s="1">
        <f t="shared" si="15"/>
        <v>1500</v>
      </c>
      <c r="E13" s="1">
        <f t="shared" si="15"/>
        <v>1500</v>
      </c>
      <c r="F13" s="1">
        <f t="shared" si="15"/>
        <v>1500</v>
      </c>
      <c r="G13" s="1">
        <f t="shared" si="15"/>
        <v>1500</v>
      </c>
      <c r="H13" s="1">
        <f t="shared" si="15"/>
        <v>1500</v>
      </c>
      <c r="J13" s="1" t="s">
        <v>52</v>
      </c>
      <c r="K13" s="1">
        <f t="shared" ref="K13:P13" si="16">MIN(K4,K6,K11)</f>
        <v>1500</v>
      </c>
      <c r="L13" s="1">
        <f t="shared" si="16"/>
        <v>1500</v>
      </c>
      <c r="M13" s="1">
        <f t="shared" si="16"/>
        <v>1500</v>
      </c>
      <c r="N13" s="1">
        <f t="shared" si="16"/>
        <v>1500</v>
      </c>
      <c r="O13" s="1">
        <f t="shared" si="16"/>
        <v>1500</v>
      </c>
      <c r="P13" s="1">
        <f t="shared" si="16"/>
        <v>1500</v>
      </c>
      <c r="R13" s="1" t="s">
        <v>52</v>
      </c>
      <c r="S13" s="1">
        <f t="shared" ref="S13:X13" si="17">MIN(S4,S6,S11)</f>
        <v>1500</v>
      </c>
      <c r="T13" s="1">
        <f t="shared" si="17"/>
        <v>1500</v>
      </c>
      <c r="U13" s="1">
        <f t="shared" si="17"/>
        <v>1500</v>
      </c>
      <c r="V13" s="1">
        <f t="shared" si="17"/>
        <v>1500</v>
      </c>
      <c r="W13" s="1">
        <f t="shared" si="17"/>
        <v>1500</v>
      </c>
      <c r="X13" s="1">
        <f t="shared" si="17"/>
        <v>1500</v>
      </c>
    </row>
    <row r="14" spans="1:24" ht="14.25" customHeight="1"/>
    <row r="15" spans="1:24" ht="14.25" customHeight="1">
      <c r="A15" s="2" t="s">
        <v>46</v>
      </c>
    </row>
    <row r="16" spans="1:24" ht="14.25" customHeight="1"/>
    <row r="17" spans="1:24" ht="14.25" customHeight="1">
      <c r="B17" s="1" t="s">
        <v>73</v>
      </c>
      <c r="C17" s="1">
        <f>Keuzes!B25</f>
        <v>1</v>
      </c>
      <c r="D17" s="1">
        <f>Keuzes!C25</f>
        <v>1</v>
      </c>
      <c r="E17" s="1">
        <f>Keuzes!D25</f>
        <v>1</v>
      </c>
      <c r="F17" s="1">
        <f>Keuzes!E25</f>
        <v>1</v>
      </c>
      <c r="G17" s="1">
        <f>Keuzes!F25</f>
        <v>1</v>
      </c>
      <c r="H17" s="1">
        <f>Keuzes!G25</f>
        <v>1</v>
      </c>
      <c r="J17" s="1" t="s">
        <v>73</v>
      </c>
      <c r="K17" s="1">
        <f>Keuzes!J25</f>
        <v>1</v>
      </c>
      <c r="L17" s="1">
        <f>Keuzes!K25</f>
        <v>1</v>
      </c>
      <c r="M17" s="1">
        <f>Keuzes!L25</f>
        <v>1</v>
      </c>
      <c r="N17" s="1">
        <f>Keuzes!M25</f>
        <v>1</v>
      </c>
      <c r="O17" s="1">
        <f>Keuzes!N25</f>
        <v>1</v>
      </c>
      <c r="P17" s="1">
        <f>Keuzes!O25</f>
        <v>1</v>
      </c>
      <c r="R17" s="1" t="s">
        <v>73</v>
      </c>
      <c r="S17" s="1">
        <f>Keuzes!R25</f>
        <v>1</v>
      </c>
      <c r="T17" s="1">
        <f>Keuzes!S25</f>
        <v>1</v>
      </c>
      <c r="U17" s="1">
        <f>Keuzes!T25</f>
        <v>1</v>
      </c>
      <c r="V17" s="1">
        <f>Keuzes!U25</f>
        <v>1</v>
      </c>
      <c r="W17" s="1">
        <f>Keuzes!V25</f>
        <v>1</v>
      </c>
      <c r="X17" s="1">
        <f>Keuzes!W25</f>
        <v>1</v>
      </c>
    </row>
    <row r="18" spans="1:24" ht="14.25" customHeight="1">
      <c r="A18" s="2">
        <v>2000</v>
      </c>
      <c r="B18" s="1" t="s">
        <v>74</v>
      </c>
      <c r="C18" s="1">
        <f t="shared" ref="C18:H18" si="18">C17*$A$4</f>
        <v>2000</v>
      </c>
      <c r="D18" s="1">
        <f t="shared" si="18"/>
        <v>2000</v>
      </c>
      <c r="E18" s="1">
        <f t="shared" si="18"/>
        <v>2000</v>
      </c>
      <c r="F18" s="1">
        <f t="shared" si="18"/>
        <v>2000</v>
      </c>
      <c r="G18" s="1">
        <f t="shared" si="18"/>
        <v>2000</v>
      </c>
      <c r="H18" s="1">
        <f t="shared" si="18"/>
        <v>2000</v>
      </c>
      <c r="J18" s="1" t="s">
        <v>74</v>
      </c>
      <c r="K18" s="1">
        <f t="shared" ref="K18:P18" si="19">K17*$A$4</f>
        <v>2000</v>
      </c>
      <c r="L18" s="1">
        <f t="shared" si="19"/>
        <v>2000</v>
      </c>
      <c r="M18" s="1">
        <f t="shared" si="19"/>
        <v>2000</v>
      </c>
      <c r="N18" s="1">
        <f t="shared" si="19"/>
        <v>2000</v>
      </c>
      <c r="O18" s="1">
        <f t="shared" si="19"/>
        <v>2000</v>
      </c>
      <c r="P18" s="1">
        <f t="shared" si="19"/>
        <v>2000</v>
      </c>
      <c r="R18" s="1" t="s">
        <v>74</v>
      </c>
      <c r="S18" s="1">
        <f t="shared" ref="S18:X18" si="20">S17*$A$4</f>
        <v>2000</v>
      </c>
      <c r="T18" s="1">
        <f t="shared" si="20"/>
        <v>2000</v>
      </c>
      <c r="U18" s="1">
        <f t="shared" si="20"/>
        <v>2000</v>
      </c>
      <c r="V18" s="1">
        <f t="shared" si="20"/>
        <v>2000</v>
      </c>
      <c r="W18" s="1">
        <f t="shared" si="20"/>
        <v>2000</v>
      </c>
      <c r="X18" s="1">
        <f t="shared" si="20"/>
        <v>2000</v>
      </c>
    </row>
    <row r="19" spans="1:24" ht="14.25" customHeight="1">
      <c r="B19" s="1" t="s">
        <v>45</v>
      </c>
      <c r="C19" s="1">
        <f>Keuzes!B26</f>
        <v>3</v>
      </c>
      <c r="D19" s="1">
        <f>Keuzes!C26</f>
        <v>3</v>
      </c>
      <c r="E19" s="1">
        <f>Keuzes!D26</f>
        <v>3</v>
      </c>
      <c r="F19" s="1">
        <f>Keuzes!E26</f>
        <v>3</v>
      </c>
      <c r="G19" s="1">
        <f>Keuzes!F26</f>
        <v>3</v>
      </c>
      <c r="H19" s="1">
        <f>Keuzes!G26</f>
        <v>3</v>
      </c>
      <c r="J19" s="1" t="s">
        <v>45</v>
      </c>
      <c r="K19" s="1">
        <f>Keuzes!J26</f>
        <v>3</v>
      </c>
      <c r="L19" s="1">
        <f>Keuzes!K26</f>
        <v>3</v>
      </c>
      <c r="M19" s="1">
        <f>Keuzes!L26</f>
        <v>3</v>
      </c>
      <c r="N19" s="1">
        <f>Keuzes!M26</f>
        <v>3</v>
      </c>
      <c r="O19" s="1">
        <f>Keuzes!N26</f>
        <v>3</v>
      </c>
      <c r="P19" s="1">
        <f>Keuzes!O26</f>
        <v>3</v>
      </c>
      <c r="R19" s="1" t="s">
        <v>45</v>
      </c>
      <c r="S19" s="1">
        <f>Keuzes!R26</f>
        <v>3</v>
      </c>
      <c r="T19" s="1">
        <f>Keuzes!S26</f>
        <v>3</v>
      </c>
      <c r="U19" s="1">
        <f>Keuzes!T26</f>
        <v>3</v>
      </c>
      <c r="V19" s="1">
        <f>Keuzes!U26</f>
        <v>3</v>
      </c>
      <c r="W19" s="1">
        <f>Keuzes!V26</f>
        <v>3</v>
      </c>
      <c r="X19" s="1">
        <f>Keuzes!W26</f>
        <v>3</v>
      </c>
    </row>
    <row r="20" spans="1:24" ht="14.25" customHeight="1">
      <c r="A20" s="2">
        <v>500</v>
      </c>
      <c r="B20" s="1" t="s">
        <v>45</v>
      </c>
      <c r="C20" s="1">
        <f t="shared" ref="C20:H20" si="21">C19*$A$6</f>
        <v>1500</v>
      </c>
      <c r="D20" s="1">
        <f t="shared" si="21"/>
        <v>1500</v>
      </c>
      <c r="E20" s="1">
        <f t="shared" si="21"/>
        <v>1500</v>
      </c>
      <c r="F20" s="1">
        <f t="shared" si="21"/>
        <v>1500</v>
      </c>
      <c r="G20" s="1">
        <f t="shared" si="21"/>
        <v>1500</v>
      </c>
      <c r="H20" s="1">
        <f t="shared" si="21"/>
        <v>1500</v>
      </c>
      <c r="J20" s="1" t="s">
        <v>45</v>
      </c>
      <c r="K20" s="1">
        <f t="shared" ref="K20:P20" si="22">K19*$A$6</f>
        <v>1500</v>
      </c>
      <c r="L20" s="1">
        <f t="shared" si="22"/>
        <v>1500</v>
      </c>
      <c r="M20" s="1">
        <f t="shared" si="22"/>
        <v>1500</v>
      </c>
      <c r="N20" s="1">
        <f t="shared" si="22"/>
        <v>1500</v>
      </c>
      <c r="O20" s="1">
        <f t="shared" si="22"/>
        <v>1500</v>
      </c>
      <c r="P20" s="1">
        <f t="shared" si="22"/>
        <v>1500</v>
      </c>
      <c r="R20" s="1" t="s">
        <v>45</v>
      </c>
      <c r="S20" s="1">
        <f t="shared" ref="S20:X20" si="23">S19*$A$6</f>
        <v>1500</v>
      </c>
      <c r="T20" s="1">
        <f t="shared" si="23"/>
        <v>1500</v>
      </c>
      <c r="U20" s="1">
        <f t="shared" si="23"/>
        <v>1500</v>
      </c>
      <c r="V20" s="1">
        <f t="shared" si="23"/>
        <v>1500</v>
      </c>
      <c r="W20" s="1">
        <f t="shared" si="23"/>
        <v>1500</v>
      </c>
      <c r="X20" s="1">
        <f t="shared" si="23"/>
        <v>1500</v>
      </c>
    </row>
    <row r="21" spans="1:24" ht="14.25" customHeight="1">
      <c r="B21" s="1" t="s">
        <v>71</v>
      </c>
      <c r="C21" s="1">
        <f>Keuzes!B23</f>
        <v>1</v>
      </c>
      <c r="D21" s="1">
        <f>Keuzes!C23</f>
        <v>1</v>
      </c>
      <c r="E21" s="1">
        <f>Keuzes!D23</f>
        <v>1</v>
      </c>
      <c r="F21" s="1">
        <f>Keuzes!E23</f>
        <v>1</v>
      </c>
      <c r="G21" s="1">
        <f>Keuzes!F23</f>
        <v>1</v>
      </c>
      <c r="H21" s="1">
        <f>Keuzes!G23</f>
        <v>1</v>
      </c>
      <c r="J21" s="1" t="s">
        <v>71</v>
      </c>
      <c r="K21" s="1">
        <f>Keuzes!J23</f>
        <v>1</v>
      </c>
      <c r="L21" s="1">
        <f>Keuzes!K23</f>
        <v>1</v>
      </c>
      <c r="M21" s="1">
        <f>Keuzes!L23</f>
        <v>1</v>
      </c>
      <c r="N21" s="1">
        <f>Keuzes!M23</f>
        <v>1</v>
      </c>
      <c r="O21" s="1">
        <f>Keuzes!N23</f>
        <v>1</v>
      </c>
      <c r="P21" s="1">
        <f>Keuzes!O23</f>
        <v>1</v>
      </c>
      <c r="R21" s="1" t="s">
        <v>71</v>
      </c>
      <c r="S21" s="1">
        <f>Keuzes!R23</f>
        <v>1</v>
      </c>
      <c r="T21" s="1">
        <f>Keuzes!S23</f>
        <v>1</v>
      </c>
      <c r="U21" s="1">
        <f>Keuzes!T23</f>
        <v>1</v>
      </c>
      <c r="V21" s="1">
        <f>Keuzes!U23</f>
        <v>1</v>
      </c>
      <c r="W21" s="1">
        <f>Keuzes!V23</f>
        <v>1</v>
      </c>
      <c r="X21" s="1">
        <f>Keuzes!W23</f>
        <v>1</v>
      </c>
    </row>
    <row r="22" spans="1:24" ht="14.25" customHeight="1">
      <c r="A22" s="2">
        <v>3000</v>
      </c>
      <c r="B22" s="1" t="s">
        <v>75</v>
      </c>
      <c r="C22" s="1">
        <f t="shared" ref="C22:H22" si="24">C21*$A$8</f>
        <v>3000</v>
      </c>
      <c r="D22" s="1">
        <f t="shared" si="24"/>
        <v>3000</v>
      </c>
      <c r="E22" s="1">
        <f t="shared" si="24"/>
        <v>3000</v>
      </c>
      <c r="F22" s="1">
        <f t="shared" si="24"/>
        <v>3000</v>
      </c>
      <c r="G22" s="1">
        <f t="shared" si="24"/>
        <v>3000</v>
      </c>
      <c r="H22" s="1">
        <f t="shared" si="24"/>
        <v>3000</v>
      </c>
      <c r="J22" s="1" t="s">
        <v>75</v>
      </c>
      <c r="K22" s="1">
        <f t="shared" ref="K22:P22" si="25">K21*$A$8</f>
        <v>3000</v>
      </c>
      <c r="L22" s="1">
        <f t="shared" si="25"/>
        <v>3000</v>
      </c>
      <c r="M22" s="1">
        <f t="shared" si="25"/>
        <v>3000</v>
      </c>
      <c r="N22" s="1">
        <f t="shared" si="25"/>
        <v>3000</v>
      </c>
      <c r="O22" s="1">
        <f t="shared" si="25"/>
        <v>3000</v>
      </c>
      <c r="P22" s="1">
        <f t="shared" si="25"/>
        <v>3000</v>
      </c>
      <c r="R22" s="1" t="s">
        <v>75</v>
      </c>
      <c r="S22" s="1">
        <f t="shared" ref="S22:X22" si="26">S21*$A$8</f>
        <v>3000</v>
      </c>
      <c r="T22" s="1">
        <f t="shared" si="26"/>
        <v>3000</v>
      </c>
      <c r="U22" s="1">
        <f t="shared" si="26"/>
        <v>3000</v>
      </c>
      <c r="V22" s="1">
        <f t="shared" si="26"/>
        <v>3000</v>
      </c>
      <c r="W22" s="1">
        <f t="shared" si="26"/>
        <v>3000</v>
      </c>
      <c r="X22" s="1">
        <f t="shared" si="26"/>
        <v>3000</v>
      </c>
    </row>
    <row r="23" spans="1:24" ht="14.25" customHeight="1">
      <c r="B23" s="1" t="s">
        <v>76</v>
      </c>
      <c r="C23" s="1">
        <f>Keuzes!B24</f>
        <v>0</v>
      </c>
      <c r="D23" s="1">
        <f>Keuzes!C24</f>
        <v>0</v>
      </c>
      <c r="E23" s="1">
        <f>Keuzes!D24</f>
        <v>0</v>
      </c>
      <c r="F23" s="1">
        <f>Keuzes!E24</f>
        <v>0</v>
      </c>
      <c r="G23" s="1">
        <f>Keuzes!F24</f>
        <v>0</v>
      </c>
      <c r="H23" s="1">
        <f>Keuzes!G24</f>
        <v>0</v>
      </c>
      <c r="J23" s="1" t="s">
        <v>76</v>
      </c>
      <c r="K23" s="1">
        <f>Keuzes!J24</f>
        <v>0</v>
      </c>
      <c r="L23" s="1">
        <f>Keuzes!K24</f>
        <v>0</v>
      </c>
      <c r="M23" s="1">
        <f>Keuzes!L24</f>
        <v>0</v>
      </c>
      <c r="N23" s="1">
        <f>Keuzes!M24</f>
        <v>0</v>
      </c>
      <c r="O23" s="1">
        <f>Keuzes!N24</f>
        <v>0</v>
      </c>
      <c r="P23" s="1">
        <f>Keuzes!O24</f>
        <v>0</v>
      </c>
      <c r="R23" s="1" t="s">
        <v>76</v>
      </c>
      <c r="S23" s="1">
        <f>Keuzes!R24</f>
        <v>0</v>
      </c>
      <c r="T23" s="1">
        <f>Keuzes!S24</f>
        <v>0</v>
      </c>
      <c r="U23" s="1">
        <f>Keuzes!T24</f>
        <v>0</v>
      </c>
      <c r="V23" s="1">
        <f>Keuzes!U24</f>
        <v>0</v>
      </c>
      <c r="W23" s="1">
        <f>Keuzes!V24</f>
        <v>0</v>
      </c>
      <c r="X23" s="1">
        <f>Keuzes!W24</f>
        <v>0</v>
      </c>
    </row>
    <row r="24" spans="1:24" ht="14.25" customHeight="1">
      <c r="A24" s="2">
        <v>500</v>
      </c>
      <c r="B24" s="1" t="s">
        <v>72</v>
      </c>
      <c r="C24" s="1">
        <f t="shared" ref="C24:H24" si="27">$A$10*C23</f>
        <v>0</v>
      </c>
      <c r="D24" s="1">
        <f t="shared" si="27"/>
        <v>0</v>
      </c>
      <c r="E24" s="1">
        <f t="shared" si="27"/>
        <v>0</v>
      </c>
      <c r="F24" s="1">
        <f t="shared" si="27"/>
        <v>0</v>
      </c>
      <c r="G24" s="1">
        <f t="shared" si="27"/>
        <v>0</v>
      </c>
      <c r="H24" s="1">
        <f t="shared" si="27"/>
        <v>0</v>
      </c>
      <c r="J24" s="1" t="s">
        <v>72</v>
      </c>
      <c r="K24" s="1">
        <f t="shared" ref="K24:P24" si="28">$A$10*K23</f>
        <v>0</v>
      </c>
      <c r="L24" s="1">
        <f t="shared" si="28"/>
        <v>0</v>
      </c>
      <c r="M24" s="1">
        <f t="shared" si="28"/>
        <v>0</v>
      </c>
      <c r="N24" s="1">
        <f t="shared" si="28"/>
        <v>0</v>
      </c>
      <c r="O24" s="1">
        <f t="shared" si="28"/>
        <v>0</v>
      </c>
      <c r="P24" s="1">
        <f t="shared" si="28"/>
        <v>0</v>
      </c>
      <c r="R24" s="1" t="s">
        <v>72</v>
      </c>
      <c r="S24" s="1">
        <f t="shared" ref="S24:X24" si="29">$A$10*S23</f>
        <v>0</v>
      </c>
      <c r="T24" s="1">
        <f t="shared" si="29"/>
        <v>0</v>
      </c>
      <c r="U24" s="1">
        <f t="shared" si="29"/>
        <v>0</v>
      </c>
      <c r="V24" s="1">
        <f t="shared" si="29"/>
        <v>0</v>
      </c>
      <c r="W24" s="1">
        <f t="shared" si="29"/>
        <v>0</v>
      </c>
      <c r="X24" s="1">
        <f t="shared" si="29"/>
        <v>0</v>
      </c>
    </row>
    <row r="25" spans="1:24" ht="14.25" customHeight="1">
      <c r="B25" s="1" t="s">
        <v>77</v>
      </c>
      <c r="C25" s="1">
        <f t="shared" ref="C25:H25" si="30">C22+C24</f>
        <v>3000</v>
      </c>
      <c r="D25" s="1">
        <f t="shared" si="30"/>
        <v>3000</v>
      </c>
      <c r="E25" s="1">
        <f t="shared" si="30"/>
        <v>3000</v>
      </c>
      <c r="F25" s="1">
        <f t="shared" si="30"/>
        <v>3000</v>
      </c>
      <c r="G25" s="1">
        <f t="shared" si="30"/>
        <v>3000</v>
      </c>
      <c r="H25" s="1">
        <f t="shared" si="30"/>
        <v>3000</v>
      </c>
      <c r="J25" s="1" t="s">
        <v>77</v>
      </c>
      <c r="K25" s="1">
        <f t="shared" ref="K25:P25" si="31">K22+K24</f>
        <v>3000</v>
      </c>
      <c r="L25" s="1">
        <f t="shared" si="31"/>
        <v>3000</v>
      </c>
      <c r="M25" s="1">
        <f t="shared" si="31"/>
        <v>3000</v>
      </c>
      <c r="N25" s="1">
        <f t="shared" si="31"/>
        <v>3000</v>
      </c>
      <c r="O25" s="1">
        <f t="shared" si="31"/>
        <v>3000</v>
      </c>
      <c r="P25" s="1">
        <f t="shared" si="31"/>
        <v>3000</v>
      </c>
      <c r="R25" s="1" t="s">
        <v>77</v>
      </c>
      <c r="S25" s="1">
        <f t="shared" ref="S25:X25" si="32">S22+S24</f>
        <v>3000</v>
      </c>
      <c r="T25" s="1">
        <f t="shared" si="32"/>
        <v>3000</v>
      </c>
      <c r="U25" s="1">
        <f t="shared" si="32"/>
        <v>3000</v>
      </c>
      <c r="V25" s="1">
        <f t="shared" si="32"/>
        <v>3000</v>
      </c>
      <c r="W25" s="1">
        <f t="shared" si="32"/>
        <v>3000</v>
      </c>
      <c r="X25" s="1">
        <f t="shared" si="32"/>
        <v>3000</v>
      </c>
    </row>
    <row r="26" spans="1:24" ht="14.25" customHeight="1"/>
    <row r="27" spans="1:24" ht="14.25" customHeight="1">
      <c r="B27" s="1" t="s">
        <v>52</v>
      </c>
      <c r="C27" s="1">
        <f t="shared" ref="C27:H27" si="33">MIN(C18,C20,C25)</f>
        <v>1500</v>
      </c>
      <c r="D27" s="1">
        <f t="shared" si="33"/>
        <v>1500</v>
      </c>
      <c r="E27" s="1">
        <f t="shared" si="33"/>
        <v>1500</v>
      </c>
      <c r="F27" s="1">
        <f t="shared" si="33"/>
        <v>1500</v>
      </c>
      <c r="G27" s="1">
        <f t="shared" si="33"/>
        <v>1500</v>
      </c>
      <c r="H27" s="1">
        <f t="shared" si="33"/>
        <v>1500</v>
      </c>
      <c r="J27" s="1" t="s">
        <v>52</v>
      </c>
      <c r="K27" s="1">
        <f t="shared" ref="K27:P27" si="34">MIN(K18,K20,K25)</f>
        <v>1500</v>
      </c>
      <c r="L27" s="1">
        <f t="shared" si="34"/>
        <v>1500</v>
      </c>
      <c r="M27" s="1">
        <f t="shared" si="34"/>
        <v>1500</v>
      </c>
      <c r="N27" s="1">
        <f t="shared" si="34"/>
        <v>1500</v>
      </c>
      <c r="O27" s="1">
        <f t="shared" si="34"/>
        <v>1500</v>
      </c>
      <c r="P27" s="1">
        <f t="shared" si="34"/>
        <v>1500</v>
      </c>
      <c r="R27" s="1" t="s">
        <v>52</v>
      </c>
      <c r="S27" s="1">
        <f t="shared" ref="S27:X27" si="35">MIN(S18,S20,S25)</f>
        <v>1500</v>
      </c>
      <c r="T27" s="1">
        <f t="shared" si="35"/>
        <v>1500</v>
      </c>
      <c r="U27" s="1">
        <f t="shared" si="35"/>
        <v>1500</v>
      </c>
      <c r="V27" s="1">
        <f t="shared" si="35"/>
        <v>1500</v>
      </c>
      <c r="W27" s="1">
        <f t="shared" si="35"/>
        <v>1500</v>
      </c>
      <c r="X27" s="1">
        <f t="shared" si="35"/>
        <v>1500</v>
      </c>
    </row>
    <row r="28" spans="1:24" ht="14.25" customHeight="1"/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T18" sqref="T18"/>
    </sheetView>
  </sheetViews>
  <sheetFormatPr defaultColWidth="12.625" defaultRowHeight="15" customHeight="1"/>
  <cols>
    <col min="1" max="1" width="11.625" customWidth="1"/>
    <col min="2" max="8" width="7.625" customWidth="1"/>
    <col min="9" max="9" width="9.375" customWidth="1"/>
    <col min="10" max="10" width="7.625" customWidth="1"/>
    <col min="11" max="11" width="8.75" customWidth="1"/>
    <col min="12" max="13" width="7.625" customWidth="1"/>
    <col min="14" max="14" width="8.75" customWidth="1"/>
    <col min="15" max="15" width="7.625" customWidth="1"/>
    <col min="16" max="16" width="8" customWidth="1"/>
    <col min="17" max="17" width="7.625" customWidth="1"/>
    <col min="18" max="18" width="10.25" customWidth="1"/>
    <col min="19" max="26" width="7.625" customWidth="1"/>
  </cols>
  <sheetData>
    <row r="1" spans="1:26" ht="14.25" customHeight="1"/>
    <row r="2" spans="1:26" ht="14.25" customHeight="1">
      <c r="A2" s="1" t="s">
        <v>0</v>
      </c>
      <c r="B2" s="2">
        <v>20000</v>
      </c>
      <c r="C2" s="2">
        <v>750</v>
      </c>
      <c r="D2" s="1">
        <f>B12</f>
        <v>6</v>
      </c>
      <c r="F2" s="2">
        <v>15000</v>
      </c>
      <c r="G2" s="3"/>
      <c r="H2" s="4">
        <v>1000</v>
      </c>
    </row>
    <row r="3" spans="1:26" ht="14.25" customHeight="1"/>
    <row r="4" spans="1:26" ht="14.25" customHeight="1"/>
    <row r="5" spans="1:26" ht="14.25" customHeight="1">
      <c r="B5" s="1" t="s">
        <v>1</v>
      </c>
      <c r="C5" s="1" t="s">
        <v>2</v>
      </c>
      <c r="D5" s="1" t="s">
        <v>3</v>
      </c>
      <c r="E5" s="1" t="s">
        <v>4</v>
      </c>
      <c r="G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S5" s="2" t="s">
        <v>11</v>
      </c>
    </row>
    <row r="6" spans="1:26" ht="14.25" customHeight="1">
      <c r="A6" s="1">
        <v>1</v>
      </c>
      <c r="B6" s="2">
        <f>Keuzes!B4</f>
        <v>6</v>
      </c>
      <c r="C6" s="1">
        <f>2*Keuzes!B5</f>
        <v>4</v>
      </c>
      <c r="D6" s="1">
        <f t="shared" ref="D6:D11" si="0">((B6/C6))</f>
        <v>1.5</v>
      </c>
      <c r="E6" s="1">
        <f>Keuzes!B7</f>
        <v>0</v>
      </c>
      <c r="G6" s="1">
        <v>1</v>
      </c>
      <c r="H6" s="3">
        <f t="shared" ref="H6:H11" si="1">$H$2</f>
        <v>1000</v>
      </c>
      <c r="I6" s="3">
        <f t="shared" ref="I6:I11" si="2">((H6/B14)-H6)+((8-B6)*500)</f>
        <v>1000</v>
      </c>
      <c r="J6" s="3">
        <f t="shared" ref="J6:J11" si="3">(MAX(0,((H6/C14)-H6))+((C6-5)*200))</f>
        <v>-200</v>
      </c>
      <c r="K6" s="3">
        <f t="shared" ref="K6:K11" si="4">H6+I6+J6</f>
        <v>1800</v>
      </c>
      <c r="L6" s="3">
        <f t="shared" ref="L6:L11" si="5">H6*(0.1*E14)+(E6*50)</f>
        <v>-10.000000000000002</v>
      </c>
      <c r="M6" s="5">
        <f t="shared" ref="M6:M11" si="6">MAX(0,((K6+L6)*D14))</f>
        <v>1790</v>
      </c>
      <c r="N6" s="3">
        <f t="shared" ref="N6:N11" si="7">MIN(Q6,(M6+V6))</f>
        <v>1500</v>
      </c>
      <c r="O6" s="5">
        <f t="shared" ref="O6:O11" si="8">M6*B6</f>
        <v>10740</v>
      </c>
      <c r="P6" s="5">
        <f t="shared" ref="P6:P11" si="9">N6*B6</f>
        <v>9000</v>
      </c>
      <c r="Q6" s="1">
        <f>Capaciteit!C13</f>
        <v>1500</v>
      </c>
      <c r="R6" s="3"/>
      <c r="S6" s="6">
        <f t="shared" ref="S6:S11" si="10">MAX(0,M6-Q6)</f>
        <v>290</v>
      </c>
      <c r="T6" s="1">
        <f t="shared" ref="T6:T11" si="11">IF(M6&gt;Q6,0,1)</f>
        <v>0</v>
      </c>
      <c r="U6" s="7">
        <f t="shared" ref="U6:U11" si="12">IF($T$12&gt;0,$S$12/$T$12*T6,0)</f>
        <v>0</v>
      </c>
      <c r="V6" s="1">
        <f t="shared" ref="V6:V11" si="13">U6*D14^2</f>
        <v>0</v>
      </c>
      <c r="W6" s="8"/>
      <c r="X6" s="8"/>
      <c r="Y6" s="8"/>
      <c r="Z6" s="8"/>
    </row>
    <row r="7" spans="1:26" ht="14.25" customHeight="1">
      <c r="A7" s="1">
        <v>2</v>
      </c>
      <c r="B7" s="2">
        <f>Keuzes!C4</f>
        <v>6</v>
      </c>
      <c r="C7" s="1">
        <f>2*Keuzes!C5</f>
        <v>4</v>
      </c>
      <c r="D7" s="1">
        <f t="shared" si="0"/>
        <v>1.5</v>
      </c>
      <c r="E7" s="1">
        <f>Keuzes!C7</f>
        <v>0</v>
      </c>
      <c r="G7" s="1">
        <v>2</v>
      </c>
      <c r="H7" s="3">
        <f t="shared" si="1"/>
        <v>1000</v>
      </c>
      <c r="I7" s="3">
        <f t="shared" si="2"/>
        <v>1000</v>
      </c>
      <c r="J7" s="3">
        <f t="shared" si="3"/>
        <v>-200</v>
      </c>
      <c r="K7" s="3">
        <f t="shared" si="4"/>
        <v>1800</v>
      </c>
      <c r="L7" s="3">
        <f t="shared" si="5"/>
        <v>-10.000000000000002</v>
      </c>
      <c r="M7" s="5">
        <f t="shared" si="6"/>
        <v>1790</v>
      </c>
      <c r="N7" s="3">
        <f t="shared" si="7"/>
        <v>1500</v>
      </c>
      <c r="O7" s="5">
        <f t="shared" si="8"/>
        <v>10740</v>
      </c>
      <c r="P7" s="5">
        <f t="shared" si="9"/>
        <v>9000</v>
      </c>
      <c r="Q7" s="1">
        <f>Capaciteit!D13</f>
        <v>1500</v>
      </c>
      <c r="R7" s="3"/>
      <c r="S7" s="6">
        <f t="shared" si="10"/>
        <v>290</v>
      </c>
      <c r="T7" s="1">
        <f t="shared" si="11"/>
        <v>0</v>
      </c>
      <c r="U7" s="7">
        <f t="shared" si="12"/>
        <v>0</v>
      </c>
      <c r="V7" s="6">
        <f t="shared" si="13"/>
        <v>0</v>
      </c>
    </row>
    <row r="8" spans="1:26" ht="14.25" customHeight="1">
      <c r="A8" s="1">
        <v>3</v>
      </c>
      <c r="B8" s="2">
        <f>Keuzes!D4</f>
        <v>6</v>
      </c>
      <c r="C8" s="1">
        <f>2*Keuzes!D5</f>
        <v>4</v>
      </c>
      <c r="D8" s="1">
        <f t="shared" si="0"/>
        <v>1.5</v>
      </c>
      <c r="E8" s="1">
        <f>Keuzes!D7</f>
        <v>0</v>
      </c>
      <c r="G8" s="1">
        <v>3</v>
      </c>
      <c r="H8" s="3">
        <f t="shared" si="1"/>
        <v>1000</v>
      </c>
      <c r="I8" s="3">
        <f t="shared" si="2"/>
        <v>1000</v>
      </c>
      <c r="J8" s="3">
        <f t="shared" si="3"/>
        <v>-200</v>
      </c>
      <c r="K8" s="3">
        <f t="shared" si="4"/>
        <v>1800</v>
      </c>
      <c r="L8" s="3">
        <f t="shared" si="5"/>
        <v>-10.000000000000002</v>
      </c>
      <c r="M8" s="5">
        <f t="shared" si="6"/>
        <v>1790</v>
      </c>
      <c r="N8" s="3">
        <f t="shared" si="7"/>
        <v>1500</v>
      </c>
      <c r="O8" s="5">
        <f t="shared" si="8"/>
        <v>10740</v>
      </c>
      <c r="P8" s="5">
        <f t="shared" si="9"/>
        <v>9000</v>
      </c>
      <c r="Q8" s="1">
        <f>Capaciteit!E13</f>
        <v>1500</v>
      </c>
      <c r="R8" s="3"/>
      <c r="S8" s="6">
        <f t="shared" si="10"/>
        <v>290</v>
      </c>
      <c r="T8" s="1">
        <f t="shared" si="11"/>
        <v>0</v>
      </c>
      <c r="U8" s="7">
        <f t="shared" si="12"/>
        <v>0</v>
      </c>
      <c r="V8" s="6">
        <f t="shared" si="13"/>
        <v>0</v>
      </c>
      <c r="W8" s="6"/>
      <c r="X8" s="6"/>
      <c r="Y8" s="6"/>
      <c r="Z8" s="6"/>
    </row>
    <row r="9" spans="1:26" ht="14.25" customHeight="1">
      <c r="A9" s="1">
        <v>4</v>
      </c>
      <c r="B9" s="2">
        <f>Keuzes!E4</f>
        <v>6</v>
      </c>
      <c r="C9" s="1">
        <f>2*Keuzes!E5</f>
        <v>4</v>
      </c>
      <c r="D9" s="1">
        <f t="shared" si="0"/>
        <v>1.5</v>
      </c>
      <c r="E9" s="1">
        <f>Keuzes!E7</f>
        <v>0</v>
      </c>
      <c r="G9" s="1">
        <v>4</v>
      </c>
      <c r="H9" s="3">
        <f t="shared" si="1"/>
        <v>1000</v>
      </c>
      <c r="I9" s="3">
        <f t="shared" si="2"/>
        <v>1000</v>
      </c>
      <c r="J9" s="3">
        <f t="shared" si="3"/>
        <v>-200</v>
      </c>
      <c r="K9" s="3">
        <f t="shared" si="4"/>
        <v>1800</v>
      </c>
      <c r="L9" s="3">
        <f t="shared" si="5"/>
        <v>-10.000000000000002</v>
      </c>
      <c r="M9" s="5">
        <f t="shared" si="6"/>
        <v>1790</v>
      </c>
      <c r="N9" s="3">
        <f t="shared" si="7"/>
        <v>1500</v>
      </c>
      <c r="O9" s="5">
        <f t="shared" si="8"/>
        <v>10740</v>
      </c>
      <c r="P9" s="5">
        <f t="shared" si="9"/>
        <v>9000</v>
      </c>
      <c r="Q9" s="1">
        <f>Capaciteit!F13</f>
        <v>1500</v>
      </c>
      <c r="R9" s="3"/>
      <c r="S9" s="6">
        <f t="shared" si="10"/>
        <v>290</v>
      </c>
      <c r="T9" s="1">
        <f t="shared" si="11"/>
        <v>0</v>
      </c>
      <c r="U9" s="7">
        <f t="shared" si="12"/>
        <v>0</v>
      </c>
      <c r="V9" s="6">
        <f t="shared" si="13"/>
        <v>0</v>
      </c>
    </row>
    <row r="10" spans="1:26" ht="14.25" customHeight="1">
      <c r="A10" s="1">
        <v>5</v>
      </c>
      <c r="B10" s="2">
        <f>Keuzes!F4</f>
        <v>6</v>
      </c>
      <c r="C10" s="1">
        <f>2*Keuzes!F5</f>
        <v>4</v>
      </c>
      <c r="D10" s="1">
        <f t="shared" si="0"/>
        <v>1.5</v>
      </c>
      <c r="E10" s="1">
        <f>Keuzes!F7</f>
        <v>0</v>
      </c>
      <c r="G10" s="1">
        <v>5</v>
      </c>
      <c r="H10" s="3">
        <f t="shared" si="1"/>
        <v>1000</v>
      </c>
      <c r="I10" s="3">
        <f t="shared" si="2"/>
        <v>1000</v>
      </c>
      <c r="J10" s="3">
        <f t="shared" si="3"/>
        <v>-200</v>
      </c>
      <c r="K10" s="3">
        <f t="shared" si="4"/>
        <v>1800</v>
      </c>
      <c r="L10" s="3">
        <f t="shared" si="5"/>
        <v>-10.000000000000002</v>
      </c>
      <c r="M10" s="5">
        <f t="shared" si="6"/>
        <v>1790</v>
      </c>
      <c r="N10" s="3">
        <f t="shared" si="7"/>
        <v>1500</v>
      </c>
      <c r="O10" s="5">
        <f t="shared" si="8"/>
        <v>10740</v>
      </c>
      <c r="P10" s="5">
        <f t="shared" si="9"/>
        <v>9000</v>
      </c>
      <c r="Q10" s="1">
        <f>Capaciteit!G13</f>
        <v>1500</v>
      </c>
      <c r="R10" s="3"/>
      <c r="S10" s="6">
        <f t="shared" si="10"/>
        <v>290</v>
      </c>
      <c r="T10" s="1">
        <f t="shared" si="11"/>
        <v>0</v>
      </c>
      <c r="U10" s="7">
        <f t="shared" si="12"/>
        <v>0</v>
      </c>
      <c r="V10" s="6">
        <f t="shared" si="13"/>
        <v>0</v>
      </c>
    </row>
    <row r="11" spans="1:26" ht="14.25" customHeight="1">
      <c r="A11" s="1">
        <v>6</v>
      </c>
      <c r="B11" s="2">
        <f>Keuzes!G4</f>
        <v>6</v>
      </c>
      <c r="C11" s="1">
        <f>2*Keuzes!G5</f>
        <v>4</v>
      </c>
      <c r="D11" s="1">
        <f t="shared" si="0"/>
        <v>1.5</v>
      </c>
      <c r="E11" s="1">
        <f>Keuzes!G7</f>
        <v>0</v>
      </c>
      <c r="G11" s="1">
        <v>6</v>
      </c>
      <c r="H11" s="3">
        <f t="shared" si="1"/>
        <v>1000</v>
      </c>
      <c r="I11" s="3">
        <f t="shared" si="2"/>
        <v>1000</v>
      </c>
      <c r="J11" s="3">
        <f t="shared" si="3"/>
        <v>-200</v>
      </c>
      <c r="K11" s="3">
        <f t="shared" si="4"/>
        <v>1800</v>
      </c>
      <c r="L11" s="3">
        <f t="shared" si="5"/>
        <v>-10.000000000000002</v>
      </c>
      <c r="M11" s="5">
        <f t="shared" si="6"/>
        <v>1790</v>
      </c>
      <c r="N11" s="3">
        <f t="shared" si="7"/>
        <v>1500</v>
      </c>
      <c r="O11" s="5">
        <f t="shared" si="8"/>
        <v>10740</v>
      </c>
      <c r="P11" s="5">
        <f t="shared" si="9"/>
        <v>9000</v>
      </c>
      <c r="Q11" s="1">
        <f>Capaciteit!H13</f>
        <v>1500</v>
      </c>
      <c r="R11" s="3"/>
      <c r="S11" s="6">
        <f t="shared" si="10"/>
        <v>290</v>
      </c>
      <c r="T11" s="1">
        <f t="shared" si="11"/>
        <v>0</v>
      </c>
      <c r="U11" s="7">
        <f t="shared" si="12"/>
        <v>0</v>
      </c>
      <c r="V11" s="6">
        <f t="shared" si="13"/>
        <v>0</v>
      </c>
    </row>
    <row r="12" spans="1:26" ht="14.25" customHeight="1">
      <c r="A12" s="1" t="s">
        <v>12</v>
      </c>
      <c r="B12" s="1">
        <f t="shared" ref="B12:D12" si="14">AVERAGE(B6:B11)</f>
        <v>6</v>
      </c>
      <c r="C12" s="1">
        <f t="shared" si="14"/>
        <v>4</v>
      </c>
      <c r="D12" s="1">
        <f t="shared" si="14"/>
        <v>1.5</v>
      </c>
      <c r="E12" s="1">
        <f>AVERAGE(E6:E11)+0.1</f>
        <v>0.1</v>
      </c>
      <c r="J12" s="3"/>
      <c r="N12" s="3"/>
      <c r="R12" s="3"/>
      <c r="S12" s="6">
        <f>SUM(S6:S11)</f>
        <v>1740</v>
      </c>
      <c r="T12" s="1">
        <f>SUM(T6:T11)</f>
        <v>0</v>
      </c>
    </row>
    <row r="13" spans="1:26" ht="14.25" customHeight="1"/>
    <row r="14" spans="1:26" ht="14.25" customHeight="1">
      <c r="A14" s="1">
        <v>1</v>
      </c>
      <c r="B14" s="1">
        <f>(B6/$B$12)^2</f>
        <v>1</v>
      </c>
      <c r="C14" s="1">
        <f t="shared" ref="C14:C19" si="15">(C$12/C6)</f>
        <v>1</v>
      </c>
      <c r="D14" s="1">
        <f t="shared" ref="D14:D19" si="16">((D$12/D6))</f>
        <v>1</v>
      </c>
      <c r="E14" s="1">
        <f t="shared" ref="E14:E19" si="17">IF($E$12=0,0,(E6/$E$12*E6)-$E$12)</f>
        <v>-0.1</v>
      </c>
      <c r="S14" s="3"/>
    </row>
    <row r="15" spans="1:26" ht="14.25" customHeight="1">
      <c r="A15" s="1">
        <v>2</v>
      </c>
      <c r="B15" s="1">
        <f t="shared" ref="B15:B19" si="18">(B7/$B$12)</f>
        <v>1</v>
      </c>
      <c r="C15" s="1">
        <f t="shared" si="15"/>
        <v>1</v>
      </c>
      <c r="D15" s="1">
        <f t="shared" si="16"/>
        <v>1</v>
      </c>
      <c r="E15" s="1">
        <f t="shared" si="17"/>
        <v>-0.1</v>
      </c>
    </row>
    <row r="16" spans="1:26" ht="14.25" customHeight="1">
      <c r="A16" s="1">
        <v>3</v>
      </c>
      <c r="B16" s="1">
        <f t="shared" si="18"/>
        <v>1</v>
      </c>
      <c r="C16" s="1">
        <f t="shared" si="15"/>
        <v>1</v>
      </c>
      <c r="D16" s="1">
        <f t="shared" si="16"/>
        <v>1</v>
      </c>
      <c r="E16" s="1">
        <f t="shared" si="17"/>
        <v>-0.1</v>
      </c>
    </row>
    <row r="17" spans="1:18" ht="14.25" customHeight="1">
      <c r="A17" s="1">
        <v>4</v>
      </c>
      <c r="B17" s="1">
        <f t="shared" si="18"/>
        <v>1</v>
      </c>
      <c r="C17" s="1">
        <f t="shared" si="15"/>
        <v>1</v>
      </c>
      <c r="D17" s="1">
        <f t="shared" si="16"/>
        <v>1</v>
      </c>
      <c r="E17" s="1">
        <f t="shared" si="17"/>
        <v>-0.1</v>
      </c>
    </row>
    <row r="18" spans="1:18" ht="14.25" customHeight="1">
      <c r="A18" s="1">
        <v>5</v>
      </c>
      <c r="B18" s="1">
        <f t="shared" si="18"/>
        <v>1</v>
      </c>
      <c r="C18" s="1">
        <f t="shared" si="15"/>
        <v>1</v>
      </c>
      <c r="D18" s="1">
        <f t="shared" si="16"/>
        <v>1</v>
      </c>
      <c r="E18" s="1">
        <f t="shared" si="17"/>
        <v>-0.1</v>
      </c>
    </row>
    <row r="19" spans="1:18" ht="14.25" customHeight="1">
      <c r="A19" s="1">
        <v>6</v>
      </c>
      <c r="B19" s="1">
        <f t="shared" si="18"/>
        <v>1</v>
      </c>
      <c r="C19" s="1">
        <f t="shared" si="15"/>
        <v>1</v>
      </c>
      <c r="D19" s="1">
        <f t="shared" si="16"/>
        <v>1</v>
      </c>
      <c r="E19" s="1">
        <f t="shared" si="17"/>
        <v>-0.1</v>
      </c>
      <c r="K19" s="9"/>
    </row>
    <row r="20" spans="1:18" ht="14.25" customHeight="1"/>
    <row r="21" spans="1:18" ht="14.25" customHeight="1">
      <c r="L21" s="2">
        <v>1</v>
      </c>
      <c r="M21" s="2">
        <v>2</v>
      </c>
      <c r="N21" s="2">
        <v>3</v>
      </c>
      <c r="O21" s="2">
        <v>4</v>
      </c>
      <c r="P21" s="2">
        <v>5</v>
      </c>
      <c r="Q21" s="2">
        <v>6</v>
      </c>
    </row>
    <row r="22" spans="1:18" ht="14.25" customHeight="1"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K22" s="2" t="s">
        <v>13</v>
      </c>
      <c r="L22" s="8"/>
      <c r="M22" s="8"/>
      <c r="N22" s="8"/>
      <c r="O22" s="8"/>
      <c r="P22" s="8"/>
      <c r="Q22" s="8"/>
      <c r="R22" s="11"/>
    </row>
    <row r="23" spans="1:18" ht="14.25" customHeight="1">
      <c r="B23" s="10"/>
      <c r="C23" s="10"/>
      <c r="D23" s="10"/>
      <c r="E23" s="10"/>
      <c r="F23" s="10"/>
      <c r="G23" s="10"/>
      <c r="K23" s="2" t="s">
        <v>14</v>
      </c>
      <c r="L23" s="12">
        <f t="shared" ref="L23:Q23" si="19">MAX(-4500,((6.5-B24)^3*75))</f>
        <v>9.375</v>
      </c>
      <c r="M23" s="12">
        <f t="shared" si="19"/>
        <v>9.375</v>
      </c>
      <c r="N23" s="12">
        <f t="shared" si="19"/>
        <v>9.375</v>
      </c>
      <c r="O23" s="12">
        <f t="shared" si="19"/>
        <v>9.375</v>
      </c>
      <c r="P23" s="12">
        <f t="shared" si="19"/>
        <v>9.375</v>
      </c>
      <c r="Q23" s="12">
        <f t="shared" si="19"/>
        <v>9.375</v>
      </c>
    </row>
    <row r="24" spans="1:18" ht="14.25" customHeight="1">
      <c r="A24" s="2" t="s">
        <v>15</v>
      </c>
      <c r="B24" s="13">
        <f>Keuzes!B4</f>
        <v>6</v>
      </c>
      <c r="C24" s="13">
        <f>Keuzes!C4</f>
        <v>6</v>
      </c>
      <c r="D24" s="13">
        <f>Keuzes!D4</f>
        <v>6</v>
      </c>
      <c r="E24" s="13">
        <f>Keuzes!E4</f>
        <v>6</v>
      </c>
      <c r="F24" s="13">
        <f>Keuzes!F4</f>
        <v>6</v>
      </c>
      <c r="G24" s="13">
        <f>Keuzes!G4</f>
        <v>6</v>
      </c>
      <c r="H24" s="1">
        <f t="shared" ref="H24:H26" si="20">AVERAGE(B24:G24)</f>
        <v>6</v>
      </c>
      <c r="K24" s="14" t="s">
        <v>16</v>
      </c>
      <c r="L24" s="6">
        <f t="shared" ref="L24:Q24" si="21">400*B25</f>
        <v>1600</v>
      </c>
      <c r="M24" s="6">
        <f t="shared" si="21"/>
        <v>1600</v>
      </c>
      <c r="N24" s="6">
        <f t="shared" si="21"/>
        <v>1600</v>
      </c>
      <c r="O24" s="6">
        <f t="shared" si="21"/>
        <v>1600</v>
      </c>
      <c r="P24" s="6">
        <f t="shared" si="21"/>
        <v>1600</v>
      </c>
      <c r="Q24" s="6">
        <f t="shared" si="21"/>
        <v>1600</v>
      </c>
    </row>
    <row r="25" spans="1:18" ht="14.25" customHeight="1">
      <c r="A25" s="1" t="s">
        <v>17</v>
      </c>
      <c r="B25" s="13">
        <f>Keuzes!B5*2</f>
        <v>4</v>
      </c>
      <c r="C25" s="13">
        <f>Keuzes!C5*2</f>
        <v>4</v>
      </c>
      <c r="D25" s="13">
        <f>Keuzes!D5*2</f>
        <v>4</v>
      </c>
      <c r="E25" s="13">
        <f>Keuzes!E5*2</f>
        <v>4</v>
      </c>
      <c r="F25" s="13">
        <f>Keuzes!F5*2</f>
        <v>4</v>
      </c>
      <c r="G25" s="13">
        <f>Keuzes!G5*2</f>
        <v>4</v>
      </c>
      <c r="H25" s="1">
        <f t="shared" si="20"/>
        <v>4</v>
      </c>
      <c r="I25" s="1">
        <f>MAX(B25:G25)</f>
        <v>4</v>
      </c>
      <c r="K25" s="2" t="s">
        <v>18</v>
      </c>
      <c r="L25" s="1">
        <f t="shared" ref="L25:Q25" si="22">MAX(0,(SUM(L22:L24)))</f>
        <v>1609.375</v>
      </c>
      <c r="M25" s="1">
        <f t="shared" si="22"/>
        <v>1609.375</v>
      </c>
      <c r="N25" s="1">
        <f t="shared" si="22"/>
        <v>1609.375</v>
      </c>
      <c r="O25" s="1">
        <f t="shared" si="22"/>
        <v>1609.375</v>
      </c>
      <c r="P25" s="1">
        <f t="shared" si="22"/>
        <v>1609.375</v>
      </c>
      <c r="Q25" s="1">
        <f t="shared" si="22"/>
        <v>1609.375</v>
      </c>
    </row>
    <row r="26" spans="1:18" ht="14.25" customHeight="1">
      <c r="A26" s="2" t="s">
        <v>3</v>
      </c>
      <c r="B26" s="13">
        <f>B24/B25</f>
        <v>1.5</v>
      </c>
      <c r="C26" s="15">
        <f>'Dashboard '!D8</f>
        <v>1.5</v>
      </c>
      <c r="D26" s="15">
        <f>'Dashboard '!D8</f>
        <v>1.5</v>
      </c>
      <c r="E26" s="15">
        <f>'Dashboard '!D8</f>
        <v>1.5</v>
      </c>
      <c r="F26" s="15">
        <f>'Dashboard '!D8</f>
        <v>1.5</v>
      </c>
      <c r="G26" s="15">
        <f>'Dashboard '!D8</f>
        <v>1.5</v>
      </c>
      <c r="H26" s="1">
        <f t="shared" si="20"/>
        <v>1.5</v>
      </c>
      <c r="K26" s="2" t="s">
        <v>19</v>
      </c>
      <c r="L26" s="16">
        <f t="shared" ref="L26:Q26" si="23">(6000/6)+(B32*6000)</f>
        <v>1000</v>
      </c>
      <c r="M26" s="16">
        <f t="shared" si="23"/>
        <v>1000</v>
      </c>
      <c r="N26" s="16">
        <f t="shared" si="23"/>
        <v>1000</v>
      </c>
      <c r="O26" s="16">
        <f t="shared" si="23"/>
        <v>1000</v>
      </c>
      <c r="P26" s="16">
        <f t="shared" si="23"/>
        <v>1000</v>
      </c>
      <c r="Q26" s="16">
        <f t="shared" si="23"/>
        <v>1000</v>
      </c>
      <c r="R26" s="6">
        <f>SUM(L26:Q26)</f>
        <v>6000</v>
      </c>
    </row>
    <row r="27" spans="1:18" ht="14.25" customHeight="1">
      <c r="A27" s="1" t="s">
        <v>20</v>
      </c>
      <c r="B27" s="13">
        <f>Keuzes!B7</f>
        <v>0</v>
      </c>
      <c r="C27" s="13">
        <f>Keuzes!C7</f>
        <v>0</v>
      </c>
      <c r="D27" s="13">
        <f>Keuzes!D7</f>
        <v>0</v>
      </c>
      <c r="E27" s="13">
        <f>Keuzes!E7</f>
        <v>0</v>
      </c>
      <c r="F27" s="13">
        <f>Keuzes!F7</f>
        <v>0</v>
      </c>
      <c r="G27" s="13">
        <f>Keuzes!G7</f>
        <v>0</v>
      </c>
      <c r="H27" s="1">
        <f>AVERAGE(B27:G27)+0.1</f>
        <v>0.1</v>
      </c>
      <c r="K27" s="2" t="s">
        <v>21</v>
      </c>
      <c r="L27" s="1">
        <f t="shared" ref="L27:Q27" si="24">L22*(0.1*B33)+(B27*50)</f>
        <v>0</v>
      </c>
      <c r="M27" s="1">
        <f t="shared" si="24"/>
        <v>0</v>
      </c>
      <c r="N27" s="1">
        <f t="shared" si="24"/>
        <v>0</v>
      </c>
      <c r="O27" s="1">
        <f t="shared" si="24"/>
        <v>0</v>
      </c>
      <c r="P27" s="1">
        <f t="shared" si="24"/>
        <v>0</v>
      </c>
      <c r="Q27" s="1">
        <f t="shared" si="24"/>
        <v>0</v>
      </c>
    </row>
    <row r="28" spans="1:18" ht="14.25" customHeight="1"/>
    <row r="29" spans="1:18" ht="14.25" customHeigh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K29" s="2" t="s">
        <v>22</v>
      </c>
      <c r="L29" s="6">
        <f t="shared" ref="L29:Q29" si="25">MAX(0,((L25+L26)))</f>
        <v>2609.375</v>
      </c>
      <c r="M29" s="6">
        <f t="shared" si="25"/>
        <v>2609.375</v>
      </c>
      <c r="N29" s="6">
        <f t="shared" si="25"/>
        <v>2609.375</v>
      </c>
      <c r="O29" s="6">
        <f t="shared" si="25"/>
        <v>2609.375</v>
      </c>
      <c r="P29" s="6">
        <f t="shared" si="25"/>
        <v>2609.375</v>
      </c>
      <c r="Q29" s="6">
        <f t="shared" si="25"/>
        <v>2609.375</v>
      </c>
    </row>
    <row r="30" spans="1:18" ht="14.25" customHeight="1">
      <c r="A30" s="2" t="s">
        <v>23</v>
      </c>
      <c r="B30" s="13">
        <f t="shared" ref="B30:G30" si="26">6-B24</f>
        <v>0</v>
      </c>
      <c r="C30" s="13">
        <f t="shared" si="26"/>
        <v>0</v>
      </c>
      <c r="D30" s="13">
        <f t="shared" si="26"/>
        <v>0</v>
      </c>
      <c r="E30" s="13">
        <f t="shared" si="26"/>
        <v>0</v>
      </c>
      <c r="F30" s="13">
        <f t="shared" si="26"/>
        <v>0</v>
      </c>
      <c r="G30" s="13">
        <f t="shared" si="26"/>
        <v>0</v>
      </c>
      <c r="K30" s="2" t="s">
        <v>24</v>
      </c>
      <c r="L30" s="6">
        <f t="shared" ref="L30:Q30" si="27">MIN(L33,((L29+L41)))</f>
        <v>1500</v>
      </c>
      <c r="M30" s="6">
        <f t="shared" si="27"/>
        <v>1500</v>
      </c>
      <c r="N30" s="6">
        <f t="shared" si="27"/>
        <v>1500</v>
      </c>
      <c r="O30" s="6">
        <f t="shared" si="27"/>
        <v>1500</v>
      </c>
      <c r="P30" s="6">
        <f t="shared" si="27"/>
        <v>1500</v>
      </c>
      <c r="Q30" s="6">
        <f t="shared" si="27"/>
        <v>1500</v>
      </c>
    </row>
    <row r="31" spans="1:18" ht="14.25" customHeight="1">
      <c r="A31" s="2" t="s">
        <v>16</v>
      </c>
      <c r="B31" s="13">
        <f t="shared" ref="B31:G31" si="28">$H$25/B25</f>
        <v>1</v>
      </c>
      <c r="C31" s="13">
        <f t="shared" si="28"/>
        <v>1</v>
      </c>
      <c r="D31" s="13">
        <f t="shared" si="28"/>
        <v>1</v>
      </c>
      <c r="E31" s="13">
        <f t="shared" si="28"/>
        <v>1</v>
      </c>
      <c r="F31" s="13">
        <f t="shared" si="28"/>
        <v>1</v>
      </c>
      <c r="G31" s="13">
        <f t="shared" si="28"/>
        <v>1</v>
      </c>
      <c r="K31" s="2" t="s">
        <v>25</v>
      </c>
      <c r="L31" s="6">
        <f t="shared" ref="L31:Q31" si="29">L29*B24</f>
        <v>15656.25</v>
      </c>
      <c r="M31" s="6">
        <f t="shared" si="29"/>
        <v>15656.25</v>
      </c>
      <c r="N31" s="6">
        <f t="shared" si="29"/>
        <v>15656.25</v>
      </c>
      <c r="O31" s="6">
        <f t="shared" si="29"/>
        <v>15656.25</v>
      </c>
      <c r="P31" s="6">
        <f t="shared" si="29"/>
        <v>15656.25</v>
      </c>
      <c r="Q31" s="6">
        <f t="shared" si="29"/>
        <v>15656.25</v>
      </c>
    </row>
    <row r="32" spans="1:18" ht="14.25" customHeight="1">
      <c r="A32" s="2" t="s">
        <v>26</v>
      </c>
      <c r="B32" s="17">
        <f t="shared" ref="B32:G32" si="30">(B35-B33)*5</f>
        <v>0</v>
      </c>
      <c r="C32" s="17">
        <f t="shared" si="30"/>
        <v>0</v>
      </c>
      <c r="D32" s="17">
        <f t="shared" si="30"/>
        <v>0</v>
      </c>
      <c r="E32" s="17">
        <f t="shared" si="30"/>
        <v>0</v>
      </c>
      <c r="F32" s="17">
        <f t="shared" si="30"/>
        <v>0</v>
      </c>
      <c r="G32" s="17">
        <f t="shared" si="30"/>
        <v>0</v>
      </c>
      <c r="I32" s="18">
        <f>SUM(B32:G32)</f>
        <v>0</v>
      </c>
      <c r="K32" s="2" t="s">
        <v>27</v>
      </c>
      <c r="L32" s="6">
        <f t="shared" ref="L32:Q32" si="31">L30*B24</f>
        <v>9000</v>
      </c>
      <c r="M32" s="6">
        <f t="shared" si="31"/>
        <v>9000</v>
      </c>
      <c r="N32" s="6">
        <f t="shared" si="31"/>
        <v>9000</v>
      </c>
      <c r="O32" s="6">
        <f t="shared" si="31"/>
        <v>9000</v>
      </c>
      <c r="P32" s="6">
        <f t="shared" si="31"/>
        <v>9000</v>
      </c>
      <c r="Q32" s="6">
        <f t="shared" si="31"/>
        <v>9000</v>
      </c>
    </row>
    <row r="33" spans="1:17" ht="14.25" customHeight="1">
      <c r="A33" s="2" t="s">
        <v>28</v>
      </c>
      <c r="B33" s="13">
        <f t="shared" ref="B33:G33" si="32">100/6/100</f>
        <v>0.16666666666666669</v>
      </c>
      <c r="C33" s="13">
        <f t="shared" si="32"/>
        <v>0.16666666666666669</v>
      </c>
      <c r="D33" s="13">
        <f t="shared" si="32"/>
        <v>0.16666666666666669</v>
      </c>
      <c r="E33" s="13">
        <f t="shared" si="32"/>
        <v>0.16666666666666669</v>
      </c>
      <c r="F33" s="13">
        <f t="shared" si="32"/>
        <v>0.16666666666666669</v>
      </c>
      <c r="G33" s="13">
        <f t="shared" si="32"/>
        <v>0.16666666666666669</v>
      </c>
      <c r="I33" s="19"/>
      <c r="K33" s="2" t="s">
        <v>29</v>
      </c>
      <c r="L33" s="20">
        <f>Capaciteit!C13</f>
        <v>1500</v>
      </c>
      <c r="M33" s="20">
        <f>Capaciteit!D13</f>
        <v>1500</v>
      </c>
      <c r="N33" s="20">
        <f>Capaciteit!E13</f>
        <v>1500</v>
      </c>
      <c r="O33" s="20">
        <f>Capaciteit!F13</f>
        <v>1500</v>
      </c>
      <c r="P33" s="20">
        <f>Capaciteit!G13</f>
        <v>1500</v>
      </c>
      <c r="Q33" s="20">
        <f>Capaciteit!H13</f>
        <v>1500</v>
      </c>
    </row>
    <row r="34" spans="1:17" ht="14.25" customHeight="1">
      <c r="A34" s="2" t="s">
        <v>30</v>
      </c>
      <c r="B34" s="1">
        <f t="shared" ref="B34:G34" si="33">1/B26</f>
        <v>0.66666666666666663</v>
      </c>
      <c r="C34" s="1">
        <f t="shared" si="33"/>
        <v>0.66666666666666663</v>
      </c>
      <c r="D34" s="1">
        <f t="shared" si="33"/>
        <v>0.66666666666666663</v>
      </c>
      <c r="E34" s="1">
        <f t="shared" si="33"/>
        <v>0.66666666666666663</v>
      </c>
      <c r="F34" s="1">
        <f t="shared" si="33"/>
        <v>0.66666666666666663</v>
      </c>
      <c r="G34" s="1">
        <f t="shared" si="33"/>
        <v>0.66666666666666663</v>
      </c>
      <c r="I34" s="1">
        <f t="shared" ref="I34:I36" si="34">SUM(B34:G34)</f>
        <v>3.9999999999999996</v>
      </c>
    </row>
    <row r="35" spans="1:17" ht="14.25" customHeight="1">
      <c r="A35" s="2" t="s">
        <v>31</v>
      </c>
      <c r="B35" s="10">
        <f t="shared" ref="B35:G35" si="35">B34/$I34</f>
        <v>0.16666666666666669</v>
      </c>
      <c r="C35" s="10">
        <f t="shared" si="35"/>
        <v>0.16666666666666669</v>
      </c>
      <c r="D35" s="10">
        <f t="shared" si="35"/>
        <v>0.16666666666666669</v>
      </c>
      <c r="E35" s="10">
        <f t="shared" si="35"/>
        <v>0.16666666666666669</v>
      </c>
      <c r="F35" s="10">
        <f t="shared" si="35"/>
        <v>0.16666666666666669</v>
      </c>
      <c r="G35" s="10">
        <f t="shared" si="35"/>
        <v>0.16666666666666669</v>
      </c>
      <c r="I35" s="1">
        <f t="shared" si="34"/>
        <v>1.0000000000000002</v>
      </c>
      <c r="L35" s="6"/>
      <c r="M35" s="6"/>
      <c r="N35" s="6"/>
      <c r="O35" s="6"/>
      <c r="P35" s="6"/>
      <c r="Q35" s="6"/>
    </row>
    <row r="36" spans="1:17" ht="14.25" customHeight="1">
      <c r="A36" s="2" t="s">
        <v>32</v>
      </c>
      <c r="B36" s="1">
        <f t="shared" ref="B36:G36" si="36">B35-B33</f>
        <v>0</v>
      </c>
      <c r="C36" s="1">
        <f t="shared" si="36"/>
        <v>0</v>
      </c>
      <c r="D36" s="1">
        <f t="shared" si="36"/>
        <v>0</v>
      </c>
      <c r="E36" s="1">
        <f t="shared" si="36"/>
        <v>0</v>
      </c>
      <c r="F36" s="1">
        <f t="shared" si="36"/>
        <v>0</v>
      </c>
      <c r="G36" s="1">
        <f t="shared" si="36"/>
        <v>0</v>
      </c>
      <c r="I36" s="1">
        <f t="shared" si="34"/>
        <v>0</v>
      </c>
    </row>
    <row r="37" spans="1:17" ht="14.25" customHeight="1">
      <c r="N37" s="6"/>
      <c r="O37" s="6"/>
      <c r="P37" s="6"/>
      <c r="Q37" s="6"/>
    </row>
    <row r="38" spans="1:17" ht="14.25" customHeight="1"/>
    <row r="39" spans="1:17" ht="14.25" customHeight="1"/>
    <row r="40" spans="1:17" ht="14.25" customHeight="1"/>
    <row r="41" spans="1:17" ht="14.25" customHeight="1">
      <c r="L41" s="6"/>
      <c r="M41" s="6"/>
      <c r="N41" s="6"/>
      <c r="O41" s="6"/>
      <c r="P41" s="6"/>
      <c r="Q41" s="6"/>
    </row>
    <row r="42" spans="1:17" ht="14.25" customHeight="1"/>
    <row r="43" spans="1:17" ht="14.25" customHeight="1">
      <c r="L43" s="1">
        <v>1</v>
      </c>
      <c r="M43" s="1">
        <v>2</v>
      </c>
      <c r="N43" s="1">
        <v>3</v>
      </c>
      <c r="O43" s="1">
        <v>4</v>
      </c>
      <c r="P43" s="1">
        <v>5</v>
      </c>
      <c r="Q43" s="1">
        <v>6</v>
      </c>
    </row>
    <row r="44" spans="1:17" ht="14.25" customHeight="1">
      <c r="K44" s="1" t="s">
        <v>33</v>
      </c>
      <c r="L44" s="3">
        <f t="shared" ref="L44:Q44" si="37">L30</f>
        <v>1500</v>
      </c>
      <c r="M44" s="3">
        <f t="shared" si="37"/>
        <v>1500</v>
      </c>
      <c r="N44" s="3">
        <f t="shared" si="37"/>
        <v>1500</v>
      </c>
      <c r="O44" s="3">
        <f t="shared" si="37"/>
        <v>1500</v>
      </c>
      <c r="P44" s="3">
        <f t="shared" si="37"/>
        <v>1500</v>
      </c>
      <c r="Q44" s="3">
        <f t="shared" si="37"/>
        <v>1500</v>
      </c>
    </row>
    <row r="45" spans="1:17" ht="14.25" customHeight="1">
      <c r="K45" s="1" t="s">
        <v>34</v>
      </c>
      <c r="L45" s="3">
        <f t="shared" ref="L45:Q45" si="38">L32</f>
        <v>9000</v>
      </c>
      <c r="M45" s="3">
        <f t="shared" si="38"/>
        <v>9000</v>
      </c>
      <c r="N45" s="3">
        <f t="shared" si="38"/>
        <v>9000</v>
      </c>
      <c r="O45" s="3">
        <f t="shared" si="38"/>
        <v>9000</v>
      </c>
      <c r="P45" s="3">
        <f t="shared" si="38"/>
        <v>9000</v>
      </c>
      <c r="Q45" s="3">
        <f t="shared" si="38"/>
        <v>9000</v>
      </c>
    </row>
    <row r="46" spans="1:17" ht="14.25" customHeight="1">
      <c r="K46" s="1" t="s">
        <v>35</v>
      </c>
    </row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11.625" customWidth="1"/>
    <col min="2" max="8" width="7.625" customWidth="1"/>
    <col min="9" max="9" width="9.375" customWidth="1"/>
    <col min="10" max="10" width="7.625" customWidth="1"/>
    <col min="11" max="11" width="12.75" customWidth="1"/>
    <col min="12" max="13" width="7.625" customWidth="1"/>
    <col min="14" max="14" width="8.75" customWidth="1"/>
    <col min="15" max="15" width="7.625" customWidth="1"/>
    <col min="16" max="16" width="9.625" customWidth="1"/>
    <col min="17" max="17" width="7.625" customWidth="1"/>
    <col min="18" max="18" width="10.25" customWidth="1"/>
    <col min="19" max="26" width="7.625" customWidth="1"/>
  </cols>
  <sheetData>
    <row r="1" spans="1:26" ht="14.25" customHeight="1"/>
    <row r="2" spans="1:26" ht="14.25" customHeight="1">
      <c r="A2" s="1" t="s">
        <v>0</v>
      </c>
      <c r="B2" s="2">
        <v>20000</v>
      </c>
      <c r="C2" s="2">
        <v>750</v>
      </c>
      <c r="D2" s="1">
        <f>B12</f>
        <v>6</v>
      </c>
      <c r="F2" s="2">
        <v>15000</v>
      </c>
      <c r="G2" s="3"/>
      <c r="H2" s="4">
        <v>1000</v>
      </c>
    </row>
    <row r="3" spans="1:26" ht="14.25" customHeight="1"/>
    <row r="4" spans="1:26" ht="14.25" customHeight="1"/>
    <row r="5" spans="1:26" ht="14.25" customHeight="1">
      <c r="B5" s="1" t="s">
        <v>1</v>
      </c>
      <c r="C5" s="1" t="s">
        <v>2</v>
      </c>
      <c r="D5" s="1" t="s">
        <v>3</v>
      </c>
      <c r="E5" s="1" t="s">
        <v>4</v>
      </c>
      <c r="G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S5" s="2" t="s">
        <v>11</v>
      </c>
    </row>
    <row r="6" spans="1:26" ht="14.25" customHeight="1">
      <c r="A6" s="1">
        <v>1</v>
      </c>
      <c r="B6" s="2">
        <f>Keuzes!B4</f>
        <v>6</v>
      </c>
      <c r="C6" s="1">
        <f>2*Keuzes!B5</f>
        <v>4</v>
      </c>
      <c r="D6" s="1">
        <f t="shared" ref="D6:D11" si="0">((B6/C6))</f>
        <v>1.5</v>
      </c>
      <c r="E6" s="1">
        <f>Keuzes!B7</f>
        <v>0</v>
      </c>
      <c r="G6" s="1">
        <v>1</v>
      </c>
      <c r="H6" s="3">
        <f t="shared" ref="H6:H11" si="1">$H$2</f>
        <v>1000</v>
      </c>
      <c r="I6" s="3">
        <f t="shared" ref="I6:I11" si="2">((H6/B14)-H6)+((8-B6)*500)</f>
        <v>1000</v>
      </c>
      <c r="J6" s="3">
        <f t="shared" ref="J6:J11" si="3">(MAX(0,((H6/C14)-H6))+((C6-5)*200))</f>
        <v>-200</v>
      </c>
      <c r="K6" s="3">
        <f t="shared" ref="K6:K11" si="4">H6+I6+J6</f>
        <v>1800</v>
      </c>
      <c r="L6" s="3">
        <f t="shared" ref="L6:L11" si="5">H6*(0.1*E14)+(E6*50)</f>
        <v>-10.000000000000002</v>
      </c>
      <c r="M6" s="5">
        <f t="shared" ref="M6:M11" si="6">MAX(0,((K6+L6)*D14))</f>
        <v>1790</v>
      </c>
      <c r="N6" s="3">
        <f t="shared" ref="N6:N11" si="7">MIN(Q6,(M6+V6))</f>
        <v>1500</v>
      </c>
      <c r="O6" s="5">
        <f t="shared" ref="O6:O11" si="8">M6*B6</f>
        <v>10740</v>
      </c>
      <c r="P6" s="5">
        <f t="shared" ref="P6:P11" si="9">N6*B6</f>
        <v>9000</v>
      </c>
      <c r="Q6" s="1">
        <f>Capaciteit!C13</f>
        <v>1500</v>
      </c>
      <c r="R6" s="3"/>
      <c r="S6" s="6">
        <f t="shared" ref="S6:S11" si="10">MAX(0,M6-Q6)</f>
        <v>290</v>
      </c>
      <c r="T6" s="1">
        <f t="shared" ref="T6:T11" si="11">IF(M6&gt;Q6,0,1)</f>
        <v>0</v>
      </c>
      <c r="U6" s="7">
        <f t="shared" ref="U6:U11" si="12">IF($T$12&gt;0,$S$12/$T$12*T6,0)</f>
        <v>0</v>
      </c>
      <c r="V6" s="1">
        <f t="shared" ref="V6:V11" si="13">U6*D14^2</f>
        <v>0</v>
      </c>
      <c r="W6" s="8"/>
      <c r="X6" s="8"/>
      <c r="Y6" s="8"/>
      <c r="Z6" s="8"/>
    </row>
    <row r="7" spans="1:26" ht="14.25" customHeight="1">
      <c r="A7" s="1">
        <v>2</v>
      </c>
      <c r="B7" s="2">
        <f>Keuzes!C4</f>
        <v>6</v>
      </c>
      <c r="C7" s="1">
        <f>2*Keuzes!C5</f>
        <v>4</v>
      </c>
      <c r="D7" s="1">
        <f t="shared" si="0"/>
        <v>1.5</v>
      </c>
      <c r="E7" s="1">
        <f>Keuzes!C7</f>
        <v>0</v>
      </c>
      <c r="G7" s="1">
        <v>2</v>
      </c>
      <c r="H7" s="3">
        <f t="shared" si="1"/>
        <v>1000</v>
      </c>
      <c r="I7" s="3">
        <f t="shared" si="2"/>
        <v>1000</v>
      </c>
      <c r="J7" s="3">
        <f t="shared" si="3"/>
        <v>-200</v>
      </c>
      <c r="K7" s="3">
        <f t="shared" si="4"/>
        <v>1800</v>
      </c>
      <c r="L7" s="3">
        <f t="shared" si="5"/>
        <v>-10.000000000000002</v>
      </c>
      <c r="M7" s="5">
        <f t="shared" si="6"/>
        <v>1790</v>
      </c>
      <c r="N7" s="3">
        <f t="shared" si="7"/>
        <v>1500</v>
      </c>
      <c r="O7" s="5">
        <f t="shared" si="8"/>
        <v>10740</v>
      </c>
      <c r="P7" s="5">
        <f t="shared" si="9"/>
        <v>9000</v>
      </c>
      <c r="Q7" s="1">
        <f>Capaciteit!D13</f>
        <v>1500</v>
      </c>
      <c r="R7" s="3"/>
      <c r="S7" s="6">
        <f t="shared" si="10"/>
        <v>290</v>
      </c>
      <c r="T7" s="1">
        <f t="shared" si="11"/>
        <v>0</v>
      </c>
      <c r="U7" s="7">
        <f t="shared" si="12"/>
        <v>0</v>
      </c>
      <c r="V7" s="6">
        <f t="shared" si="13"/>
        <v>0</v>
      </c>
    </row>
    <row r="8" spans="1:26" ht="14.25" customHeight="1">
      <c r="A8" s="1">
        <v>3</v>
      </c>
      <c r="B8" s="2">
        <f>Keuzes!D4</f>
        <v>6</v>
      </c>
      <c r="C8" s="1">
        <f>2*Keuzes!D5</f>
        <v>4</v>
      </c>
      <c r="D8" s="1">
        <f t="shared" si="0"/>
        <v>1.5</v>
      </c>
      <c r="E8" s="1">
        <f>Keuzes!D7</f>
        <v>0</v>
      </c>
      <c r="G8" s="1">
        <v>3</v>
      </c>
      <c r="H8" s="3">
        <f t="shared" si="1"/>
        <v>1000</v>
      </c>
      <c r="I8" s="3">
        <f t="shared" si="2"/>
        <v>1000</v>
      </c>
      <c r="J8" s="3">
        <f t="shared" si="3"/>
        <v>-200</v>
      </c>
      <c r="K8" s="3">
        <f t="shared" si="4"/>
        <v>1800</v>
      </c>
      <c r="L8" s="3">
        <f t="shared" si="5"/>
        <v>-10.000000000000002</v>
      </c>
      <c r="M8" s="5">
        <f t="shared" si="6"/>
        <v>1790</v>
      </c>
      <c r="N8" s="3">
        <f t="shared" si="7"/>
        <v>1500</v>
      </c>
      <c r="O8" s="5">
        <f t="shared" si="8"/>
        <v>10740</v>
      </c>
      <c r="P8" s="5">
        <f t="shared" si="9"/>
        <v>9000</v>
      </c>
      <c r="Q8" s="1">
        <f>Capaciteit!E13</f>
        <v>1500</v>
      </c>
      <c r="R8" s="3"/>
      <c r="S8" s="6">
        <f t="shared" si="10"/>
        <v>290</v>
      </c>
      <c r="T8" s="1">
        <f t="shared" si="11"/>
        <v>0</v>
      </c>
      <c r="U8" s="7">
        <f t="shared" si="12"/>
        <v>0</v>
      </c>
      <c r="V8" s="6">
        <f t="shared" si="13"/>
        <v>0</v>
      </c>
      <c r="W8" s="6"/>
      <c r="X8" s="6"/>
      <c r="Y8" s="6"/>
      <c r="Z8" s="6"/>
    </row>
    <row r="9" spans="1:26" ht="14.25" customHeight="1">
      <c r="A9" s="1">
        <v>4</v>
      </c>
      <c r="B9" s="2">
        <f>Keuzes!E4</f>
        <v>6</v>
      </c>
      <c r="C9" s="1">
        <f>2*Keuzes!E5</f>
        <v>4</v>
      </c>
      <c r="D9" s="1">
        <f t="shared" si="0"/>
        <v>1.5</v>
      </c>
      <c r="E9" s="1">
        <f>Keuzes!E7</f>
        <v>0</v>
      </c>
      <c r="G9" s="1">
        <v>4</v>
      </c>
      <c r="H9" s="3">
        <f t="shared" si="1"/>
        <v>1000</v>
      </c>
      <c r="I9" s="3">
        <f t="shared" si="2"/>
        <v>1000</v>
      </c>
      <c r="J9" s="3">
        <f t="shared" si="3"/>
        <v>-200</v>
      </c>
      <c r="K9" s="3">
        <f t="shared" si="4"/>
        <v>1800</v>
      </c>
      <c r="L9" s="3">
        <f t="shared" si="5"/>
        <v>-10.000000000000002</v>
      </c>
      <c r="M9" s="5">
        <f t="shared" si="6"/>
        <v>1790</v>
      </c>
      <c r="N9" s="3">
        <f t="shared" si="7"/>
        <v>1500</v>
      </c>
      <c r="O9" s="5">
        <f t="shared" si="8"/>
        <v>10740</v>
      </c>
      <c r="P9" s="5">
        <f t="shared" si="9"/>
        <v>9000</v>
      </c>
      <c r="Q9" s="1">
        <f>Capaciteit!F13</f>
        <v>1500</v>
      </c>
      <c r="R9" s="3"/>
      <c r="S9" s="6">
        <f t="shared" si="10"/>
        <v>290</v>
      </c>
      <c r="T9" s="1">
        <f t="shared" si="11"/>
        <v>0</v>
      </c>
      <c r="U9" s="7">
        <f t="shared" si="12"/>
        <v>0</v>
      </c>
      <c r="V9" s="6">
        <f t="shared" si="13"/>
        <v>0</v>
      </c>
    </row>
    <row r="10" spans="1:26" ht="14.25" customHeight="1">
      <c r="A10" s="1">
        <v>5</v>
      </c>
      <c r="B10" s="2">
        <f>Keuzes!F4</f>
        <v>6</v>
      </c>
      <c r="C10" s="1">
        <f>2*Keuzes!F5</f>
        <v>4</v>
      </c>
      <c r="D10" s="1">
        <f t="shared" si="0"/>
        <v>1.5</v>
      </c>
      <c r="E10" s="1">
        <f>Keuzes!F7</f>
        <v>0</v>
      </c>
      <c r="G10" s="1">
        <v>5</v>
      </c>
      <c r="H10" s="3">
        <f t="shared" si="1"/>
        <v>1000</v>
      </c>
      <c r="I10" s="3">
        <f t="shared" si="2"/>
        <v>1000</v>
      </c>
      <c r="J10" s="3">
        <f t="shared" si="3"/>
        <v>-200</v>
      </c>
      <c r="K10" s="3">
        <f t="shared" si="4"/>
        <v>1800</v>
      </c>
      <c r="L10" s="3">
        <f t="shared" si="5"/>
        <v>-10.000000000000002</v>
      </c>
      <c r="M10" s="5">
        <f t="shared" si="6"/>
        <v>1790</v>
      </c>
      <c r="N10" s="3">
        <f t="shared" si="7"/>
        <v>1500</v>
      </c>
      <c r="O10" s="5">
        <f t="shared" si="8"/>
        <v>10740</v>
      </c>
      <c r="P10" s="5">
        <f t="shared" si="9"/>
        <v>9000</v>
      </c>
      <c r="Q10" s="1">
        <f>Capaciteit!G13</f>
        <v>1500</v>
      </c>
      <c r="R10" s="3"/>
      <c r="S10" s="6">
        <f t="shared" si="10"/>
        <v>290</v>
      </c>
      <c r="T10" s="1">
        <f t="shared" si="11"/>
        <v>0</v>
      </c>
      <c r="U10" s="7">
        <f t="shared" si="12"/>
        <v>0</v>
      </c>
      <c r="V10" s="6">
        <f t="shared" si="13"/>
        <v>0</v>
      </c>
    </row>
    <row r="11" spans="1:26" ht="14.25" customHeight="1">
      <c r="A11" s="1">
        <v>6</v>
      </c>
      <c r="B11" s="2">
        <f>Keuzes!G4</f>
        <v>6</v>
      </c>
      <c r="C11" s="1">
        <f>2*Keuzes!G5</f>
        <v>4</v>
      </c>
      <c r="D11" s="1">
        <f t="shared" si="0"/>
        <v>1.5</v>
      </c>
      <c r="E11" s="1">
        <f>Keuzes!G7</f>
        <v>0</v>
      </c>
      <c r="G11" s="1">
        <v>6</v>
      </c>
      <c r="H11" s="3">
        <f t="shared" si="1"/>
        <v>1000</v>
      </c>
      <c r="I11" s="3">
        <f t="shared" si="2"/>
        <v>1000</v>
      </c>
      <c r="J11" s="3">
        <f t="shared" si="3"/>
        <v>-200</v>
      </c>
      <c r="K11" s="3">
        <f t="shared" si="4"/>
        <v>1800</v>
      </c>
      <c r="L11" s="3">
        <f t="shared" si="5"/>
        <v>-10.000000000000002</v>
      </c>
      <c r="M11" s="5">
        <f t="shared" si="6"/>
        <v>1790</v>
      </c>
      <c r="N11" s="3">
        <f t="shared" si="7"/>
        <v>1500</v>
      </c>
      <c r="O11" s="5">
        <f t="shared" si="8"/>
        <v>10740</v>
      </c>
      <c r="P11" s="5">
        <f t="shared" si="9"/>
        <v>9000</v>
      </c>
      <c r="Q11" s="1">
        <f>Capaciteit!H13</f>
        <v>1500</v>
      </c>
      <c r="R11" s="3"/>
      <c r="S11" s="6">
        <f t="shared" si="10"/>
        <v>290</v>
      </c>
      <c r="T11" s="1">
        <f t="shared" si="11"/>
        <v>0</v>
      </c>
      <c r="U11" s="7">
        <f t="shared" si="12"/>
        <v>0</v>
      </c>
      <c r="V11" s="6">
        <f t="shared" si="13"/>
        <v>0</v>
      </c>
    </row>
    <row r="12" spans="1:26" ht="14.25" customHeight="1">
      <c r="A12" s="1" t="s">
        <v>12</v>
      </c>
      <c r="B12" s="1">
        <f t="shared" ref="B12:D12" si="14">AVERAGE(B6:B11)</f>
        <v>6</v>
      </c>
      <c r="C12" s="1">
        <f t="shared" si="14"/>
        <v>4</v>
      </c>
      <c r="D12" s="1">
        <f t="shared" si="14"/>
        <v>1.5</v>
      </c>
      <c r="E12" s="1">
        <f>AVERAGE(E6:E11)+0.1</f>
        <v>0.1</v>
      </c>
      <c r="J12" s="3"/>
      <c r="N12" s="3"/>
      <c r="R12" s="3"/>
      <c r="S12" s="6">
        <f>SUM(S6:S11)</f>
        <v>1740</v>
      </c>
      <c r="T12" s="1">
        <f>SUM(T6:T11)</f>
        <v>0</v>
      </c>
    </row>
    <row r="13" spans="1:26" ht="14.25" customHeight="1"/>
    <row r="14" spans="1:26" ht="14.25" customHeight="1">
      <c r="A14" s="1">
        <v>1</v>
      </c>
      <c r="B14" s="1">
        <f>(B6/$B$12)^2</f>
        <v>1</v>
      </c>
      <c r="C14" s="1">
        <f t="shared" ref="C14:C19" si="15">(C$12/C6)</f>
        <v>1</v>
      </c>
      <c r="D14" s="1">
        <f t="shared" ref="D14:D19" si="16">((D$12/D6))</f>
        <v>1</v>
      </c>
      <c r="E14" s="1">
        <f t="shared" ref="E14:E19" si="17">IF($E$12=0,0,(E6/$E$12*E6)-$E$12)</f>
        <v>-0.1</v>
      </c>
      <c r="S14" s="3"/>
    </row>
    <row r="15" spans="1:26" ht="14.25" customHeight="1">
      <c r="A15" s="1">
        <v>2</v>
      </c>
      <c r="B15" s="1">
        <f t="shared" ref="B15:B19" si="18">(B7/$B$12)</f>
        <v>1</v>
      </c>
      <c r="C15" s="1">
        <f t="shared" si="15"/>
        <v>1</v>
      </c>
      <c r="D15" s="1">
        <f t="shared" si="16"/>
        <v>1</v>
      </c>
      <c r="E15" s="1">
        <f t="shared" si="17"/>
        <v>-0.1</v>
      </c>
    </row>
    <row r="16" spans="1:26" ht="14.25" customHeight="1">
      <c r="A16" s="1">
        <v>3</v>
      </c>
      <c r="B16" s="1">
        <f t="shared" si="18"/>
        <v>1</v>
      </c>
      <c r="C16" s="1">
        <f t="shared" si="15"/>
        <v>1</v>
      </c>
      <c r="D16" s="1">
        <f t="shared" si="16"/>
        <v>1</v>
      </c>
      <c r="E16" s="1">
        <f t="shared" si="17"/>
        <v>-0.1</v>
      </c>
    </row>
    <row r="17" spans="1:17" ht="14.25" customHeight="1">
      <c r="A17" s="1">
        <v>4</v>
      </c>
      <c r="B17" s="1">
        <f t="shared" si="18"/>
        <v>1</v>
      </c>
      <c r="C17" s="1">
        <f t="shared" si="15"/>
        <v>1</v>
      </c>
      <c r="D17" s="1">
        <f t="shared" si="16"/>
        <v>1</v>
      </c>
      <c r="E17" s="1">
        <f t="shared" si="17"/>
        <v>-0.1</v>
      </c>
    </row>
    <row r="18" spans="1:17" ht="14.25" customHeight="1">
      <c r="A18" s="1">
        <v>5</v>
      </c>
      <c r="B18" s="1">
        <f t="shared" si="18"/>
        <v>1</v>
      </c>
      <c r="C18" s="1">
        <f t="shared" si="15"/>
        <v>1</v>
      </c>
      <c r="D18" s="1">
        <f t="shared" si="16"/>
        <v>1</v>
      </c>
      <c r="E18" s="1">
        <f t="shared" si="17"/>
        <v>-0.1</v>
      </c>
    </row>
    <row r="19" spans="1:17" ht="14.25" customHeight="1">
      <c r="A19" s="1">
        <v>6</v>
      </c>
      <c r="B19" s="1">
        <f t="shared" si="18"/>
        <v>1</v>
      </c>
      <c r="C19" s="1">
        <f t="shared" si="15"/>
        <v>1</v>
      </c>
      <c r="D19" s="1">
        <f t="shared" si="16"/>
        <v>1</v>
      </c>
      <c r="E19" s="1">
        <f t="shared" si="17"/>
        <v>-0.1</v>
      </c>
      <c r="K19" s="9"/>
    </row>
    <row r="20" spans="1:17" ht="14.25" customHeight="1"/>
    <row r="21" spans="1:17" ht="14.25" customHeight="1">
      <c r="L21" s="2">
        <v>1</v>
      </c>
      <c r="M21" s="2">
        <v>2</v>
      </c>
      <c r="N21" s="2">
        <v>3</v>
      </c>
      <c r="O21" s="2">
        <v>4</v>
      </c>
      <c r="P21" s="2">
        <v>5</v>
      </c>
      <c r="Q21" s="2">
        <v>6</v>
      </c>
    </row>
    <row r="22" spans="1:17" ht="14.25" customHeight="1"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K22" s="2" t="s">
        <v>13</v>
      </c>
      <c r="L22" s="8"/>
      <c r="M22" s="8"/>
      <c r="N22" s="8"/>
      <c r="O22" s="8"/>
      <c r="P22" s="8"/>
      <c r="Q22" s="8"/>
    </row>
    <row r="23" spans="1:17" ht="14.25" customHeight="1">
      <c r="B23" s="10"/>
      <c r="C23" s="10"/>
      <c r="D23" s="10"/>
      <c r="E23" s="10"/>
      <c r="F23" s="10"/>
      <c r="G23" s="10"/>
      <c r="K23" s="2" t="s">
        <v>14</v>
      </c>
      <c r="L23" s="12">
        <f t="shared" ref="L23:Q23" si="19">MAX(-4500,((6.5-B24)^3*75))</f>
        <v>9.375</v>
      </c>
      <c r="M23" s="12">
        <f t="shared" si="19"/>
        <v>9.375</v>
      </c>
      <c r="N23" s="12">
        <f t="shared" si="19"/>
        <v>9.375</v>
      </c>
      <c r="O23" s="12">
        <f t="shared" si="19"/>
        <v>9.375</v>
      </c>
      <c r="P23" s="12">
        <f t="shared" si="19"/>
        <v>9.375</v>
      </c>
      <c r="Q23" s="12">
        <f t="shared" si="19"/>
        <v>9.375</v>
      </c>
    </row>
    <row r="24" spans="1:17" ht="14.25" customHeight="1">
      <c r="A24" s="21" t="s">
        <v>15</v>
      </c>
      <c r="B24" s="22">
        <f>Keuzes!J4</f>
        <v>6</v>
      </c>
      <c r="C24" s="22">
        <f>Keuzes!K4</f>
        <v>6</v>
      </c>
      <c r="D24" s="22">
        <f>Keuzes!L4</f>
        <v>6</v>
      </c>
      <c r="E24" s="22">
        <f>Keuzes!M4</f>
        <v>6</v>
      </c>
      <c r="F24" s="22">
        <f>Keuzes!N4</f>
        <v>6</v>
      </c>
      <c r="G24" s="22">
        <f>Keuzes!O4</f>
        <v>6</v>
      </c>
      <c r="H24" s="1">
        <f t="shared" ref="H24:H26" si="20">AVERAGE(B24:G24)</f>
        <v>6</v>
      </c>
      <c r="K24" s="14" t="s">
        <v>16</v>
      </c>
      <c r="L24" s="6">
        <f t="shared" ref="L24:Q24" si="21">400*B25</f>
        <v>1600</v>
      </c>
      <c r="M24" s="6">
        <f t="shared" si="21"/>
        <v>1600</v>
      </c>
      <c r="N24" s="6">
        <f t="shared" si="21"/>
        <v>1600</v>
      </c>
      <c r="O24" s="6">
        <f t="shared" si="21"/>
        <v>1600</v>
      </c>
      <c r="P24" s="6">
        <f t="shared" si="21"/>
        <v>1600</v>
      </c>
      <c r="Q24" s="6">
        <f t="shared" si="21"/>
        <v>1600</v>
      </c>
    </row>
    <row r="25" spans="1:17" ht="14.25" customHeight="1">
      <c r="A25" s="23" t="s">
        <v>17</v>
      </c>
      <c r="B25" s="22">
        <f>Keuzes!J5*2</f>
        <v>4</v>
      </c>
      <c r="C25" s="22">
        <f>Keuzes!K5*2</f>
        <v>4</v>
      </c>
      <c r="D25" s="22">
        <f>Keuzes!L5*2</f>
        <v>4</v>
      </c>
      <c r="E25" s="22">
        <f>Keuzes!M5*2</f>
        <v>4</v>
      </c>
      <c r="F25" s="22">
        <f>Keuzes!N5*2</f>
        <v>4</v>
      </c>
      <c r="G25" s="22">
        <f>Keuzes!O5*2</f>
        <v>4</v>
      </c>
      <c r="H25" s="1">
        <f t="shared" si="20"/>
        <v>4</v>
      </c>
      <c r="I25" s="1">
        <f>MAX(B25:G25)</f>
        <v>4</v>
      </c>
      <c r="K25" s="2" t="s">
        <v>18</v>
      </c>
      <c r="L25" s="1">
        <f t="shared" ref="L25:Q25" si="22">SUM(L22:L24)</f>
        <v>1609.375</v>
      </c>
      <c r="M25" s="1">
        <f t="shared" si="22"/>
        <v>1609.375</v>
      </c>
      <c r="N25" s="1">
        <f t="shared" si="22"/>
        <v>1609.375</v>
      </c>
      <c r="O25" s="1">
        <f t="shared" si="22"/>
        <v>1609.375</v>
      </c>
      <c r="P25" s="1">
        <f t="shared" si="22"/>
        <v>1609.375</v>
      </c>
      <c r="Q25" s="1">
        <f t="shared" si="22"/>
        <v>1609.375</v>
      </c>
    </row>
    <row r="26" spans="1:17" ht="14.25" customHeight="1">
      <c r="A26" s="24" t="s">
        <v>3</v>
      </c>
      <c r="B26" s="25">
        <f t="shared" ref="B26:G26" si="23">B24/B25</f>
        <v>1.5</v>
      </c>
      <c r="C26" s="25">
        <f t="shared" si="23"/>
        <v>1.5</v>
      </c>
      <c r="D26" s="25">
        <f t="shared" si="23"/>
        <v>1.5</v>
      </c>
      <c r="E26" s="25">
        <f t="shared" si="23"/>
        <v>1.5</v>
      </c>
      <c r="F26" s="25">
        <f t="shared" si="23"/>
        <v>1.5</v>
      </c>
      <c r="G26" s="25">
        <f t="shared" si="23"/>
        <v>1.5</v>
      </c>
      <c r="H26" s="1">
        <f t="shared" si="20"/>
        <v>1.5</v>
      </c>
      <c r="K26" s="2" t="s">
        <v>19</v>
      </c>
      <c r="L26" s="16">
        <f t="shared" ref="L26:Q26" si="24">(6000/6)+(B32*6000)</f>
        <v>1000</v>
      </c>
      <c r="M26" s="16">
        <f t="shared" si="24"/>
        <v>1000</v>
      </c>
      <c r="N26" s="16">
        <f t="shared" si="24"/>
        <v>1000</v>
      </c>
      <c r="O26" s="16">
        <f t="shared" si="24"/>
        <v>1000</v>
      </c>
      <c r="P26" s="16">
        <f t="shared" si="24"/>
        <v>1000</v>
      </c>
      <c r="Q26" s="16">
        <f t="shared" si="24"/>
        <v>1000</v>
      </c>
    </row>
    <row r="27" spans="1:17" ht="14.25" customHeight="1">
      <c r="A27" s="23" t="s">
        <v>20</v>
      </c>
      <c r="B27" s="22">
        <f>Keuzes!J7</f>
        <v>0</v>
      </c>
      <c r="C27" s="22">
        <f>Keuzes!K7</f>
        <v>0</v>
      </c>
      <c r="D27" s="22">
        <f>Keuzes!L7</f>
        <v>0</v>
      </c>
      <c r="E27" s="22">
        <f>Keuzes!M7</f>
        <v>0</v>
      </c>
      <c r="F27" s="22">
        <f>Keuzes!N7</f>
        <v>0</v>
      </c>
      <c r="G27" s="22">
        <f>Keuzes!O7</f>
        <v>0</v>
      </c>
      <c r="H27" s="1">
        <f>AVERAGE(B27:G27)+0.1</f>
        <v>0.1</v>
      </c>
      <c r="K27" s="2" t="s">
        <v>21</v>
      </c>
      <c r="L27" s="1">
        <f t="shared" ref="L27:Q27" si="25">L22*(0.1*B33)+(B27*50)</f>
        <v>0</v>
      </c>
      <c r="M27" s="1">
        <f t="shared" si="25"/>
        <v>0</v>
      </c>
      <c r="N27" s="1">
        <f t="shared" si="25"/>
        <v>0</v>
      </c>
      <c r="O27" s="1">
        <f t="shared" si="25"/>
        <v>0</v>
      </c>
      <c r="P27" s="1">
        <f t="shared" si="25"/>
        <v>0</v>
      </c>
      <c r="Q27" s="1">
        <f t="shared" si="25"/>
        <v>0</v>
      </c>
    </row>
    <row r="28" spans="1:17" ht="14.25" customHeight="1">
      <c r="K28" s="2" t="s">
        <v>36</v>
      </c>
      <c r="L28" s="6">
        <f t="shared" ref="L28:Q28" si="26">L25+L26</f>
        <v>2609.375</v>
      </c>
      <c r="M28" s="6">
        <f t="shared" si="26"/>
        <v>2609.375</v>
      </c>
      <c r="N28" s="6">
        <f t="shared" si="26"/>
        <v>2609.375</v>
      </c>
      <c r="O28" s="6">
        <f t="shared" si="26"/>
        <v>2609.375</v>
      </c>
      <c r="P28" s="6">
        <f t="shared" si="26"/>
        <v>2609.375</v>
      </c>
      <c r="Q28" s="6">
        <f t="shared" si="26"/>
        <v>2609.375</v>
      </c>
    </row>
    <row r="29" spans="1:17" ht="14.25" customHeigh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L29" s="23"/>
      <c r="M29" s="23"/>
      <c r="N29" s="23"/>
      <c r="O29" s="23"/>
      <c r="P29" s="23"/>
      <c r="Q29" s="23"/>
    </row>
    <row r="30" spans="1:17" ht="14.25" customHeight="1">
      <c r="A30" s="2" t="s">
        <v>37</v>
      </c>
      <c r="B30" s="13">
        <f t="shared" ref="B30:G30" si="27">(B24/$H$24)</f>
        <v>1</v>
      </c>
      <c r="C30" s="13">
        <f t="shared" si="27"/>
        <v>1</v>
      </c>
      <c r="D30" s="13">
        <f t="shared" si="27"/>
        <v>1</v>
      </c>
      <c r="E30" s="13">
        <f t="shared" si="27"/>
        <v>1</v>
      </c>
      <c r="F30" s="13">
        <f t="shared" si="27"/>
        <v>1</v>
      </c>
      <c r="G30" s="13">
        <f t="shared" si="27"/>
        <v>1</v>
      </c>
      <c r="K30" s="2" t="s">
        <v>22</v>
      </c>
      <c r="L30" s="6">
        <f t="shared" ref="L30:Q30" si="28">MAX(0,L28)</f>
        <v>2609.375</v>
      </c>
      <c r="M30" s="6">
        <f t="shared" si="28"/>
        <v>2609.375</v>
      </c>
      <c r="N30" s="6">
        <f t="shared" si="28"/>
        <v>2609.375</v>
      </c>
      <c r="O30" s="6">
        <f t="shared" si="28"/>
        <v>2609.375</v>
      </c>
      <c r="P30" s="6">
        <f t="shared" si="28"/>
        <v>2609.375</v>
      </c>
      <c r="Q30" s="6">
        <f t="shared" si="28"/>
        <v>2609.375</v>
      </c>
    </row>
    <row r="31" spans="1:17" ht="14.25" customHeight="1">
      <c r="A31" s="2" t="s">
        <v>16</v>
      </c>
      <c r="B31" s="13">
        <f t="shared" ref="B31:G31" si="29">$H$25/B25</f>
        <v>1</v>
      </c>
      <c r="C31" s="13">
        <f t="shared" si="29"/>
        <v>1</v>
      </c>
      <c r="D31" s="13">
        <f t="shared" si="29"/>
        <v>1</v>
      </c>
      <c r="E31" s="13">
        <f t="shared" si="29"/>
        <v>1</v>
      </c>
      <c r="F31" s="13">
        <f t="shared" si="29"/>
        <v>1</v>
      </c>
      <c r="G31" s="13">
        <f t="shared" si="29"/>
        <v>1</v>
      </c>
      <c r="K31" s="2" t="s">
        <v>24</v>
      </c>
      <c r="L31" s="6">
        <f t="shared" ref="L31:Q31" si="30">MIN(L34,((L30+L42)))</f>
        <v>1500</v>
      </c>
      <c r="M31" s="6">
        <f t="shared" si="30"/>
        <v>1500</v>
      </c>
      <c r="N31" s="6">
        <f t="shared" si="30"/>
        <v>1500</v>
      </c>
      <c r="O31" s="6">
        <f t="shared" si="30"/>
        <v>1500</v>
      </c>
      <c r="P31" s="6">
        <f t="shared" si="30"/>
        <v>1500</v>
      </c>
      <c r="Q31" s="6">
        <f t="shared" si="30"/>
        <v>1500</v>
      </c>
    </row>
    <row r="32" spans="1:17" ht="14.25" customHeight="1">
      <c r="A32" s="2" t="s">
        <v>26</v>
      </c>
      <c r="B32" s="17">
        <f t="shared" ref="B32:G32" si="31">(B35-B33)*5</f>
        <v>0</v>
      </c>
      <c r="C32" s="17">
        <f t="shared" si="31"/>
        <v>0</v>
      </c>
      <c r="D32" s="17">
        <f t="shared" si="31"/>
        <v>0</v>
      </c>
      <c r="E32" s="17">
        <f t="shared" si="31"/>
        <v>0</v>
      </c>
      <c r="F32" s="17">
        <f t="shared" si="31"/>
        <v>0</v>
      </c>
      <c r="G32" s="17">
        <f t="shared" si="31"/>
        <v>0</v>
      </c>
      <c r="I32" s="18">
        <f>SUM(B32:G32)</f>
        <v>0</v>
      </c>
      <c r="K32" s="2" t="s">
        <v>25</v>
      </c>
      <c r="L32" s="1">
        <f t="shared" ref="L32:Q32" si="32">L30*B24</f>
        <v>15656.25</v>
      </c>
      <c r="M32" s="1">
        <f t="shared" si="32"/>
        <v>15656.25</v>
      </c>
      <c r="N32" s="1">
        <f t="shared" si="32"/>
        <v>15656.25</v>
      </c>
      <c r="O32" s="1">
        <f t="shared" si="32"/>
        <v>15656.25</v>
      </c>
      <c r="P32" s="1">
        <f t="shared" si="32"/>
        <v>15656.25</v>
      </c>
      <c r="Q32" s="1">
        <f t="shared" si="32"/>
        <v>15656.25</v>
      </c>
    </row>
    <row r="33" spans="1:18" ht="14.25" customHeight="1">
      <c r="A33" s="2" t="s">
        <v>28</v>
      </c>
      <c r="B33" s="13">
        <f t="shared" ref="B33:G33" si="33">100/6/100</f>
        <v>0.16666666666666669</v>
      </c>
      <c r="C33" s="13">
        <f t="shared" si="33"/>
        <v>0.16666666666666669</v>
      </c>
      <c r="D33" s="13">
        <f t="shared" si="33"/>
        <v>0.16666666666666669</v>
      </c>
      <c r="E33" s="13">
        <f t="shared" si="33"/>
        <v>0.16666666666666669</v>
      </c>
      <c r="F33" s="13">
        <f t="shared" si="33"/>
        <v>0.16666666666666669</v>
      </c>
      <c r="G33" s="13">
        <f t="shared" si="33"/>
        <v>0.16666666666666669</v>
      </c>
      <c r="I33" s="19">
        <f>SUM(B26:G26)</f>
        <v>9</v>
      </c>
      <c r="K33" s="2" t="s">
        <v>27</v>
      </c>
      <c r="L33" s="1">
        <f t="shared" ref="L33:Q33" si="34">L31*B24</f>
        <v>9000</v>
      </c>
      <c r="M33" s="1">
        <f t="shared" si="34"/>
        <v>9000</v>
      </c>
      <c r="N33" s="1">
        <f t="shared" si="34"/>
        <v>9000</v>
      </c>
      <c r="O33" s="1">
        <f t="shared" si="34"/>
        <v>9000</v>
      </c>
      <c r="P33" s="1">
        <f t="shared" si="34"/>
        <v>9000</v>
      </c>
      <c r="Q33" s="1">
        <f t="shared" si="34"/>
        <v>9000</v>
      </c>
    </row>
    <row r="34" spans="1:18" ht="14.25" customHeight="1">
      <c r="A34" s="2" t="s">
        <v>30</v>
      </c>
      <c r="B34" s="1">
        <f t="shared" ref="B34:G34" si="35">1/B26</f>
        <v>0.66666666666666663</v>
      </c>
      <c r="C34" s="1">
        <f t="shared" si="35"/>
        <v>0.66666666666666663</v>
      </c>
      <c r="D34" s="1">
        <f t="shared" si="35"/>
        <v>0.66666666666666663</v>
      </c>
      <c r="E34" s="1">
        <f t="shared" si="35"/>
        <v>0.66666666666666663</v>
      </c>
      <c r="F34" s="1">
        <f t="shared" si="35"/>
        <v>0.66666666666666663</v>
      </c>
      <c r="G34" s="1">
        <f t="shared" si="35"/>
        <v>0.66666666666666663</v>
      </c>
      <c r="I34" s="1">
        <f t="shared" ref="I34:I36" si="36">SUM(B34:G34)</f>
        <v>3.9999999999999996</v>
      </c>
      <c r="K34" s="2" t="s">
        <v>29</v>
      </c>
      <c r="L34" s="20">
        <f>Capaciteit!K13</f>
        <v>1500</v>
      </c>
      <c r="M34" s="20">
        <f>Capaciteit!L13</f>
        <v>1500</v>
      </c>
      <c r="N34" s="20">
        <f>Capaciteit!M13</f>
        <v>1500</v>
      </c>
      <c r="O34" s="20">
        <f>Capaciteit!N13</f>
        <v>1500</v>
      </c>
      <c r="P34" s="20">
        <f>Capaciteit!O13</f>
        <v>1500</v>
      </c>
      <c r="Q34" s="20">
        <f>Capaciteit!P13</f>
        <v>1500</v>
      </c>
    </row>
    <row r="35" spans="1:18" ht="14.25" customHeight="1">
      <c r="A35" s="2" t="s">
        <v>31</v>
      </c>
      <c r="B35" s="10">
        <f t="shared" ref="B35:G35" si="37">B34/$I34</f>
        <v>0.16666666666666669</v>
      </c>
      <c r="C35" s="10">
        <f t="shared" si="37"/>
        <v>0.16666666666666669</v>
      </c>
      <c r="D35" s="10">
        <f t="shared" si="37"/>
        <v>0.16666666666666669</v>
      </c>
      <c r="E35" s="10">
        <f t="shared" si="37"/>
        <v>0.16666666666666669</v>
      </c>
      <c r="F35" s="10">
        <f t="shared" si="37"/>
        <v>0.16666666666666669</v>
      </c>
      <c r="G35" s="10">
        <f t="shared" si="37"/>
        <v>0.16666666666666669</v>
      </c>
      <c r="I35" s="1">
        <f t="shared" si="36"/>
        <v>1.0000000000000002</v>
      </c>
    </row>
    <row r="36" spans="1:18" ht="14.25" customHeight="1">
      <c r="A36" s="2" t="s">
        <v>32</v>
      </c>
      <c r="B36" s="1">
        <f t="shared" ref="B36:G36" si="38">B35-B33</f>
        <v>0</v>
      </c>
      <c r="C36" s="1">
        <f t="shared" si="38"/>
        <v>0</v>
      </c>
      <c r="D36" s="1">
        <f t="shared" si="38"/>
        <v>0</v>
      </c>
      <c r="E36" s="1">
        <f t="shared" si="38"/>
        <v>0</v>
      </c>
      <c r="F36" s="1">
        <f t="shared" si="38"/>
        <v>0</v>
      </c>
      <c r="G36" s="1">
        <f t="shared" si="38"/>
        <v>0</v>
      </c>
      <c r="I36" s="1">
        <f t="shared" si="36"/>
        <v>0</v>
      </c>
      <c r="K36" s="26"/>
      <c r="L36" s="6"/>
      <c r="M36" s="6"/>
      <c r="N36" s="6"/>
      <c r="O36" s="6"/>
      <c r="P36" s="6"/>
      <c r="Q36" s="6"/>
    </row>
    <row r="37" spans="1:18" ht="14.25" customHeight="1">
      <c r="K37" s="6"/>
      <c r="L37" s="6"/>
      <c r="M37" s="6"/>
      <c r="N37" s="6"/>
      <c r="O37" s="6"/>
      <c r="P37" s="6"/>
      <c r="Q37" s="6"/>
      <c r="R37" s="6"/>
    </row>
    <row r="38" spans="1:18" ht="14.25" customHeight="1">
      <c r="K38" s="6"/>
      <c r="L38" s="6"/>
      <c r="M38" s="6"/>
      <c r="N38" s="6"/>
      <c r="O38" s="6"/>
      <c r="P38" s="6"/>
      <c r="Q38" s="6"/>
      <c r="R38" s="6"/>
    </row>
    <row r="39" spans="1:18" ht="14.25" customHeight="1">
      <c r="K39" s="6"/>
      <c r="L39" s="6"/>
      <c r="M39" s="6"/>
      <c r="N39" s="6"/>
      <c r="O39" s="6"/>
      <c r="P39" s="6"/>
      <c r="Q39" s="6"/>
      <c r="R39" s="6"/>
    </row>
    <row r="40" spans="1:18" ht="14.25" customHeight="1">
      <c r="K40" s="6"/>
      <c r="L40" s="6"/>
      <c r="M40" s="6"/>
      <c r="N40" s="27"/>
      <c r="O40" s="27"/>
      <c r="P40" s="27"/>
      <c r="Q40" s="27"/>
      <c r="R40" s="6"/>
    </row>
    <row r="41" spans="1:18" ht="14.25" customHeight="1">
      <c r="K41" s="6"/>
      <c r="L41" s="6"/>
      <c r="M41" s="6"/>
      <c r="N41" s="6"/>
      <c r="O41" s="6"/>
      <c r="P41" s="6"/>
      <c r="Q41" s="6"/>
      <c r="R41" s="6"/>
    </row>
    <row r="42" spans="1:18" ht="14.25" customHeight="1">
      <c r="K42" s="26" t="s">
        <v>38</v>
      </c>
      <c r="L42" s="6">
        <f t="shared" ref="L42:Q42" si="39">L40*$R36</f>
        <v>0</v>
      </c>
      <c r="M42" s="6">
        <f t="shared" si="39"/>
        <v>0</v>
      </c>
      <c r="N42" s="6">
        <f t="shared" si="39"/>
        <v>0</v>
      </c>
      <c r="O42" s="6">
        <f t="shared" si="39"/>
        <v>0</v>
      </c>
      <c r="P42" s="6">
        <f t="shared" si="39"/>
        <v>0</v>
      </c>
      <c r="Q42" s="6">
        <f t="shared" si="39"/>
        <v>0</v>
      </c>
      <c r="R42" s="6"/>
    </row>
    <row r="43" spans="1:18" ht="14.25" customHeight="1">
      <c r="K43" s="1" t="s">
        <v>33</v>
      </c>
      <c r="L43" s="3">
        <f t="shared" ref="L43:Q43" si="40">L31</f>
        <v>1500</v>
      </c>
      <c r="M43" s="3">
        <f t="shared" si="40"/>
        <v>1500</v>
      </c>
      <c r="N43" s="3">
        <f t="shared" si="40"/>
        <v>1500</v>
      </c>
      <c r="O43" s="3">
        <f t="shared" si="40"/>
        <v>1500</v>
      </c>
      <c r="P43" s="3">
        <f t="shared" si="40"/>
        <v>1500</v>
      </c>
      <c r="Q43" s="3">
        <f t="shared" si="40"/>
        <v>1500</v>
      </c>
    </row>
    <row r="44" spans="1:18" ht="14.25" customHeight="1">
      <c r="K44" s="1" t="s">
        <v>34</v>
      </c>
      <c r="L44" s="3">
        <f t="shared" ref="L44:Q44" si="41">L33</f>
        <v>9000</v>
      </c>
      <c r="M44" s="3">
        <f t="shared" si="41"/>
        <v>9000</v>
      </c>
      <c r="N44" s="3">
        <f t="shared" si="41"/>
        <v>9000</v>
      </c>
      <c r="O44" s="3">
        <f t="shared" si="41"/>
        <v>9000</v>
      </c>
      <c r="P44" s="3">
        <f t="shared" si="41"/>
        <v>9000</v>
      </c>
      <c r="Q44" s="3">
        <f t="shared" si="41"/>
        <v>9000</v>
      </c>
    </row>
    <row r="45" spans="1:18" ht="14.25" customHeight="1">
      <c r="K45" s="1" t="s">
        <v>35</v>
      </c>
    </row>
    <row r="46" spans="1:18" ht="14.25" customHeight="1"/>
    <row r="47" spans="1:18" ht="14.25" customHeight="1"/>
    <row r="48" spans="1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/>
  <cols>
    <col min="1" max="1" width="11.625" customWidth="1"/>
    <col min="2" max="8" width="7.625" customWidth="1"/>
    <col min="9" max="9" width="9.375" customWidth="1"/>
    <col min="10" max="10" width="7.625" customWidth="1"/>
    <col min="11" max="11" width="8.75" customWidth="1"/>
    <col min="12" max="13" width="7.625" customWidth="1"/>
    <col min="14" max="14" width="8.75" customWidth="1"/>
    <col min="15" max="15" width="7.625" customWidth="1"/>
    <col min="16" max="16" width="9.625" customWidth="1"/>
    <col min="17" max="17" width="7.625" customWidth="1"/>
    <col min="18" max="18" width="10.25" customWidth="1"/>
    <col min="19" max="26" width="7.625" customWidth="1"/>
  </cols>
  <sheetData>
    <row r="1" spans="1:26" ht="14.25" customHeight="1"/>
    <row r="2" spans="1:26" ht="14.25" customHeight="1">
      <c r="A2" s="1" t="s">
        <v>0</v>
      </c>
      <c r="B2" s="2">
        <v>20000</v>
      </c>
      <c r="C2" s="2">
        <v>750</v>
      </c>
      <c r="D2" s="1">
        <f>B12</f>
        <v>6</v>
      </c>
      <c r="F2" s="2">
        <v>15000</v>
      </c>
      <c r="G2" s="3"/>
      <c r="H2" s="4">
        <v>1000</v>
      </c>
    </row>
    <row r="3" spans="1:26" ht="14.25" customHeight="1"/>
    <row r="4" spans="1:26" ht="14.25" customHeight="1"/>
    <row r="5" spans="1:26" ht="14.25" customHeight="1">
      <c r="B5" s="1" t="s">
        <v>1</v>
      </c>
      <c r="C5" s="1" t="s">
        <v>2</v>
      </c>
      <c r="D5" s="1" t="s">
        <v>3</v>
      </c>
      <c r="E5" s="1" t="s">
        <v>4</v>
      </c>
      <c r="G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S5" s="2" t="s">
        <v>11</v>
      </c>
    </row>
    <row r="6" spans="1:26" ht="14.25" customHeight="1">
      <c r="A6" s="1">
        <v>1</v>
      </c>
      <c r="B6" s="2">
        <f>Keuzes!B4</f>
        <v>6</v>
      </c>
      <c r="C6" s="1">
        <f>2*Keuzes!B5</f>
        <v>4</v>
      </c>
      <c r="D6" s="1">
        <f t="shared" ref="D6:D11" si="0">((B6/C6))</f>
        <v>1.5</v>
      </c>
      <c r="E6" s="1">
        <f>Keuzes!B7</f>
        <v>0</v>
      </c>
      <c r="G6" s="1">
        <v>1</v>
      </c>
      <c r="H6" s="3">
        <f t="shared" ref="H6:H11" si="1">$H$2</f>
        <v>1000</v>
      </c>
      <c r="I6" s="3">
        <f t="shared" ref="I6:I11" si="2">((H6/B14)-H6)+((8-B6)*500)</f>
        <v>1000</v>
      </c>
      <c r="J6" s="3">
        <f t="shared" ref="J6:J11" si="3">(MAX(0,((H6/C14)-H6))+((C6-5)*200))</f>
        <v>-200</v>
      </c>
      <c r="K6" s="3">
        <f t="shared" ref="K6:K11" si="4">H6+I6+J6</f>
        <v>1800</v>
      </c>
      <c r="L6" s="3">
        <f t="shared" ref="L6:L11" si="5">H6*(0.1*E14)+(E6*50)</f>
        <v>-10.000000000000002</v>
      </c>
      <c r="M6" s="5">
        <f t="shared" ref="M6:M11" si="6">MAX(0,((K6+L6)*D14))</f>
        <v>1790</v>
      </c>
      <c r="N6" s="3">
        <f t="shared" ref="N6:N11" si="7">MIN(Q6,(M6+V6))</f>
        <v>1500</v>
      </c>
      <c r="O6" s="5">
        <f t="shared" ref="O6:O11" si="8">M6*B6</f>
        <v>10740</v>
      </c>
      <c r="P6" s="5">
        <f t="shared" ref="P6:P11" si="9">N6*B6</f>
        <v>9000</v>
      </c>
      <c r="Q6" s="1">
        <f>Capaciteit!C13</f>
        <v>1500</v>
      </c>
      <c r="R6" s="3"/>
      <c r="S6" s="6">
        <f t="shared" ref="S6:S11" si="10">MAX(0,M6-Q6)</f>
        <v>290</v>
      </c>
      <c r="T6" s="1">
        <f t="shared" ref="T6:T11" si="11">IF(M6&gt;Q6,0,1)</f>
        <v>0</v>
      </c>
      <c r="U6" s="7">
        <f t="shared" ref="U6:U11" si="12">IF($T$12&gt;0,$S$12/$T$12*T6,0)</f>
        <v>0</v>
      </c>
      <c r="V6" s="1">
        <f t="shared" ref="V6:V11" si="13">U6*D14^2</f>
        <v>0</v>
      </c>
      <c r="W6" s="8"/>
      <c r="X6" s="8"/>
      <c r="Y6" s="8"/>
      <c r="Z6" s="8"/>
    </row>
    <row r="7" spans="1:26" ht="14.25" customHeight="1">
      <c r="A7" s="1">
        <v>2</v>
      </c>
      <c r="B7" s="2">
        <f>Keuzes!C4</f>
        <v>6</v>
      </c>
      <c r="C7" s="1">
        <f>2*Keuzes!C5</f>
        <v>4</v>
      </c>
      <c r="D7" s="1">
        <f t="shared" si="0"/>
        <v>1.5</v>
      </c>
      <c r="E7" s="1">
        <f>Keuzes!C7</f>
        <v>0</v>
      </c>
      <c r="G7" s="1">
        <v>2</v>
      </c>
      <c r="H7" s="3">
        <f t="shared" si="1"/>
        <v>1000</v>
      </c>
      <c r="I7" s="3">
        <f t="shared" si="2"/>
        <v>1000</v>
      </c>
      <c r="J7" s="3">
        <f t="shared" si="3"/>
        <v>-200</v>
      </c>
      <c r="K7" s="3">
        <f t="shared" si="4"/>
        <v>1800</v>
      </c>
      <c r="L7" s="3">
        <f t="shared" si="5"/>
        <v>-10.000000000000002</v>
      </c>
      <c r="M7" s="5">
        <f t="shared" si="6"/>
        <v>1790</v>
      </c>
      <c r="N7" s="3">
        <f t="shared" si="7"/>
        <v>1500</v>
      </c>
      <c r="O7" s="5">
        <f t="shared" si="8"/>
        <v>10740</v>
      </c>
      <c r="P7" s="5">
        <f t="shared" si="9"/>
        <v>9000</v>
      </c>
      <c r="Q7" s="1">
        <f>Capaciteit!D13</f>
        <v>1500</v>
      </c>
      <c r="R7" s="3"/>
      <c r="S7" s="6">
        <f t="shared" si="10"/>
        <v>290</v>
      </c>
      <c r="T7" s="1">
        <f t="shared" si="11"/>
        <v>0</v>
      </c>
      <c r="U7" s="7">
        <f t="shared" si="12"/>
        <v>0</v>
      </c>
      <c r="V7" s="6">
        <f t="shared" si="13"/>
        <v>0</v>
      </c>
    </row>
    <row r="8" spans="1:26" ht="14.25" customHeight="1">
      <c r="A8" s="1">
        <v>3</v>
      </c>
      <c r="B8" s="2">
        <f>Keuzes!D4</f>
        <v>6</v>
      </c>
      <c r="C8" s="1">
        <f>2*Keuzes!D5</f>
        <v>4</v>
      </c>
      <c r="D8" s="1">
        <f t="shared" si="0"/>
        <v>1.5</v>
      </c>
      <c r="E8" s="1">
        <f>Keuzes!D7</f>
        <v>0</v>
      </c>
      <c r="G8" s="1">
        <v>3</v>
      </c>
      <c r="H8" s="3">
        <f t="shared" si="1"/>
        <v>1000</v>
      </c>
      <c r="I8" s="3">
        <f t="shared" si="2"/>
        <v>1000</v>
      </c>
      <c r="J8" s="3">
        <f t="shared" si="3"/>
        <v>-200</v>
      </c>
      <c r="K8" s="3">
        <f t="shared" si="4"/>
        <v>1800</v>
      </c>
      <c r="L8" s="3">
        <f t="shared" si="5"/>
        <v>-10.000000000000002</v>
      </c>
      <c r="M8" s="5">
        <f t="shared" si="6"/>
        <v>1790</v>
      </c>
      <c r="N8" s="3">
        <f t="shared" si="7"/>
        <v>1500</v>
      </c>
      <c r="O8" s="5">
        <f t="shared" si="8"/>
        <v>10740</v>
      </c>
      <c r="P8" s="5">
        <f t="shared" si="9"/>
        <v>9000</v>
      </c>
      <c r="Q8" s="1">
        <f>Capaciteit!E13</f>
        <v>1500</v>
      </c>
      <c r="R8" s="3"/>
      <c r="S8" s="6">
        <f t="shared" si="10"/>
        <v>290</v>
      </c>
      <c r="T8" s="1">
        <f t="shared" si="11"/>
        <v>0</v>
      </c>
      <c r="U8" s="7">
        <f t="shared" si="12"/>
        <v>0</v>
      </c>
      <c r="V8" s="6">
        <f t="shared" si="13"/>
        <v>0</v>
      </c>
      <c r="W8" s="6"/>
      <c r="X8" s="6"/>
      <c r="Y8" s="6"/>
      <c r="Z8" s="6"/>
    </row>
    <row r="9" spans="1:26" ht="14.25" customHeight="1">
      <c r="A9" s="1">
        <v>4</v>
      </c>
      <c r="B9" s="2">
        <f>Keuzes!E4</f>
        <v>6</v>
      </c>
      <c r="C9" s="1">
        <f>2*Keuzes!E5</f>
        <v>4</v>
      </c>
      <c r="D9" s="1">
        <f t="shared" si="0"/>
        <v>1.5</v>
      </c>
      <c r="E9" s="1">
        <f>Keuzes!E7</f>
        <v>0</v>
      </c>
      <c r="G9" s="1">
        <v>4</v>
      </c>
      <c r="H9" s="3">
        <f t="shared" si="1"/>
        <v>1000</v>
      </c>
      <c r="I9" s="3">
        <f t="shared" si="2"/>
        <v>1000</v>
      </c>
      <c r="J9" s="3">
        <f t="shared" si="3"/>
        <v>-200</v>
      </c>
      <c r="K9" s="3">
        <f t="shared" si="4"/>
        <v>1800</v>
      </c>
      <c r="L9" s="3">
        <f t="shared" si="5"/>
        <v>-10.000000000000002</v>
      </c>
      <c r="M9" s="5">
        <f t="shared" si="6"/>
        <v>1790</v>
      </c>
      <c r="N9" s="3">
        <f t="shared" si="7"/>
        <v>1500</v>
      </c>
      <c r="O9" s="5">
        <f t="shared" si="8"/>
        <v>10740</v>
      </c>
      <c r="P9" s="5">
        <f t="shared" si="9"/>
        <v>9000</v>
      </c>
      <c r="Q9" s="1">
        <f>Capaciteit!F13</f>
        <v>1500</v>
      </c>
      <c r="R9" s="3"/>
      <c r="S9" s="6">
        <f t="shared" si="10"/>
        <v>290</v>
      </c>
      <c r="T9" s="1">
        <f t="shared" si="11"/>
        <v>0</v>
      </c>
      <c r="U9" s="7">
        <f t="shared" si="12"/>
        <v>0</v>
      </c>
      <c r="V9" s="6">
        <f t="shared" si="13"/>
        <v>0</v>
      </c>
    </row>
    <row r="10" spans="1:26" ht="14.25" customHeight="1">
      <c r="A10" s="1">
        <v>5</v>
      </c>
      <c r="B10" s="2">
        <f>Keuzes!F4</f>
        <v>6</v>
      </c>
      <c r="C10" s="1">
        <f>2*Keuzes!F5</f>
        <v>4</v>
      </c>
      <c r="D10" s="1">
        <f t="shared" si="0"/>
        <v>1.5</v>
      </c>
      <c r="E10" s="1">
        <f>Keuzes!F7</f>
        <v>0</v>
      </c>
      <c r="G10" s="1">
        <v>5</v>
      </c>
      <c r="H10" s="3">
        <f t="shared" si="1"/>
        <v>1000</v>
      </c>
      <c r="I10" s="3">
        <f t="shared" si="2"/>
        <v>1000</v>
      </c>
      <c r="J10" s="3">
        <f t="shared" si="3"/>
        <v>-200</v>
      </c>
      <c r="K10" s="3">
        <f t="shared" si="4"/>
        <v>1800</v>
      </c>
      <c r="L10" s="3">
        <f t="shared" si="5"/>
        <v>-10.000000000000002</v>
      </c>
      <c r="M10" s="5">
        <f t="shared" si="6"/>
        <v>1790</v>
      </c>
      <c r="N10" s="3">
        <f t="shared" si="7"/>
        <v>1500</v>
      </c>
      <c r="O10" s="5">
        <f t="shared" si="8"/>
        <v>10740</v>
      </c>
      <c r="P10" s="5">
        <f t="shared" si="9"/>
        <v>9000</v>
      </c>
      <c r="Q10" s="1">
        <f>Capaciteit!G13</f>
        <v>1500</v>
      </c>
      <c r="R10" s="3"/>
      <c r="S10" s="6">
        <f t="shared" si="10"/>
        <v>290</v>
      </c>
      <c r="T10" s="1">
        <f t="shared" si="11"/>
        <v>0</v>
      </c>
      <c r="U10" s="7">
        <f t="shared" si="12"/>
        <v>0</v>
      </c>
      <c r="V10" s="6">
        <f t="shared" si="13"/>
        <v>0</v>
      </c>
    </row>
    <row r="11" spans="1:26" ht="14.25" customHeight="1">
      <c r="A11" s="1">
        <v>6</v>
      </c>
      <c r="B11" s="2">
        <f>Keuzes!G4</f>
        <v>6</v>
      </c>
      <c r="C11" s="1">
        <f>2*Keuzes!G5</f>
        <v>4</v>
      </c>
      <c r="D11" s="1">
        <f t="shared" si="0"/>
        <v>1.5</v>
      </c>
      <c r="E11" s="1">
        <f>Keuzes!G7</f>
        <v>0</v>
      </c>
      <c r="G11" s="1">
        <v>6</v>
      </c>
      <c r="H11" s="3">
        <f t="shared" si="1"/>
        <v>1000</v>
      </c>
      <c r="I11" s="3">
        <f t="shared" si="2"/>
        <v>1000</v>
      </c>
      <c r="J11" s="3">
        <f t="shared" si="3"/>
        <v>-200</v>
      </c>
      <c r="K11" s="3">
        <f t="shared" si="4"/>
        <v>1800</v>
      </c>
      <c r="L11" s="3">
        <f t="shared" si="5"/>
        <v>-10.000000000000002</v>
      </c>
      <c r="M11" s="5">
        <f t="shared" si="6"/>
        <v>1790</v>
      </c>
      <c r="N11" s="3">
        <f t="shared" si="7"/>
        <v>1500</v>
      </c>
      <c r="O11" s="5">
        <f t="shared" si="8"/>
        <v>10740</v>
      </c>
      <c r="P11" s="5">
        <f t="shared" si="9"/>
        <v>9000</v>
      </c>
      <c r="Q11" s="1">
        <f>Capaciteit!H13</f>
        <v>1500</v>
      </c>
      <c r="R11" s="3"/>
      <c r="S11" s="6">
        <f t="shared" si="10"/>
        <v>290</v>
      </c>
      <c r="T11" s="1">
        <f t="shared" si="11"/>
        <v>0</v>
      </c>
      <c r="U11" s="7">
        <f t="shared" si="12"/>
        <v>0</v>
      </c>
      <c r="V11" s="6">
        <f t="shared" si="13"/>
        <v>0</v>
      </c>
    </row>
    <row r="12" spans="1:26" ht="14.25" customHeight="1">
      <c r="A12" s="1" t="s">
        <v>12</v>
      </c>
      <c r="B12" s="1">
        <f t="shared" ref="B12:D12" si="14">AVERAGE(B6:B11)</f>
        <v>6</v>
      </c>
      <c r="C12" s="1">
        <f t="shared" si="14"/>
        <v>4</v>
      </c>
      <c r="D12" s="1">
        <f t="shared" si="14"/>
        <v>1.5</v>
      </c>
      <c r="E12" s="1">
        <f>AVERAGE(E6:E11)+0.1</f>
        <v>0.1</v>
      </c>
      <c r="J12" s="3"/>
      <c r="N12" s="3"/>
      <c r="R12" s="3"/>
      <c r="S12" s="6">
        <f>SUM(S6:S11)</f>
        <v>1740</v>
      </c>
      <c r="T12" s="1">
        <f>SUM(T6:T11)</f>
        <v>0</v>
      </c>
    </row>
    <row r="13" spans="1:26" ht="14.25" customHeight="1"/>
    <row r="14" spans="1:26" ht="14.25" customHeight="1">
      <c r="A14" s="1">
        <v>1</v>
      </c>
      <c r="B14" s="1">
        <f>(B6/$B$12)^2</f>
        <v>1</v>
      </c>
      <c r="C14" s="1">
        <f t="shared" ref="C14:C19" si="15">(C$12/C6)</f>
        <v>1</v>
      </c>
      <c r="D14" s="1">
        <f t="shared" ref="D14:D19" si="16">((D$12/D6))</f>
        <v>1</v>
      </c>
      <c r="E14" s="1">
        <f t="shared" ref="E14:E19" si="17">IF($E$12=0,0,(E6/$E$12*E6)-$E$12)</f>
        <v>-0.1</v>
      </c>
      <c r="S14" s="3"/>
    </row>
    <row r="15" spans="1:26" ht="14.25" customHeight="1">
      <c r="A15" s="1">
        <v>2</v>
      </c>
      <c r="B15" s="1">
        <f t="shared" ref="B15:B19" si="18">(B7/$B$12)</f>
        <v>1</v>
      </c>
      <c r="C15" s="1">
        <f t="shared" si="15"/>
        <v>1</v>
      </c>
      <c r="D15" s="1">
        <f t="shared" si="16"/>
        <v>1</v>
      </c>
      <c r="E15" s="1">
        <f t="shared" si="17"/>
        <v>-0.1</v>
      </c>
    </row>
    <row r="16" spans="1:26" ht="14.25" customHeight="1">
      <c r="A16" s="1">
        <v>3</v>
      </c>
      <c r="B16" s="1">
        <f t="shared" si="18"/>
        <v>1</v>
      </c>
      <c r="C16" s="1">
        <f t="shared" si="15"/>
        <v>1</v>
      </c>
      <c r="D16" s="1">
        <f t="shared" si="16"/>
        <v>1</v>
      </c>
      <c r="E16" s="1">
        <f t="shared" si="17"/>
        <v>-0.1</v>
      </c>
    </row>
    <row r="17" spans="1:17" ht="14.25" customHeight="1">
      <c r="A17" s="1">
        <v>4</v>
      </c>
      <c r="B17" s="1">
        <f t="shared" si="18"/>
        <v>1</v>
      </c>
      <c r="C17" s="1">
        <f t="shared" si="15"/>
        <v>1</v>
      </c>
      <c r="D17" s="1">
        <f t="shared" si="16"/>
        <v>1</v>
      </c>
      <c r="E17" s="1">
        <f t="shared" si="17"/>
        <v>-0.1</v>
      </c>
    </row>
    <row r="18" spans="1:17" ht="14.25" customHeight="1">
      <c r="A18" s="1">
        <v>5</v>
      </c>
      <c r="B18" s="1">
        <f t="shared" si="18"/>
        <v>1</v>
      </c>
      <c r="C18" s="1">
        <f t="shared" si="15"/>
        <v>1</v>
      </c>
      <c r="D18" s="1">
        <f t="shared" si="16"/>
        <v>1</v>
      </c>
      <c r="E18" s="1">
        <f t="shared" si="17"/>
        <v>-0.1</v>
      </c>
    </row>
    <row r="19" spans="1:17" ht="14.25" customHeight="1">
      <c r="A19" s="1">
        <v>6</v>
      </c>
      <c r="B19" s="1">
        <f t="shared" si="18"/>
        <v>1</v>
      </c>
      <c r="C19" s="1">
        <f t="shared" si="15"/>
        <v>1</v>
      </c>
      <c r="D19" s="1">
        <f t="shared" si="16"/>
        <v>1</v>
      </c>
      <c r="E19" s="1">
        <f t="shared" si="17"/>
        <v>-0.1</v>
      </c>
      <c r="K19" s="9"/>
    </row>
    <row r="20" spans="1:17" ht="14.25" customHeight="1"/>
    <row r="21" spans="1:17" ht="14.25" customHeight="1">
      <c r="L21" s="2">
        <v>1</v>
      </c>
      <c r="M21" s="2">
        <v>2</v>
      </c>
      <c r="N21" s="2">
        <v>3</v>
      </c>
      <c r="O21" s="2">
        <v>4</v>
      </c>
      <c r="P21" s="2">
        <v>5</v>
      </c>
      <c r="Q21" s="2">
        <v>6</v>
      </c>
    </row>
    <row r="22" spans="1:17" ht="14.25" customHeight="1"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K22" s="2" t="s">
        <v>13</v>
      </c>
      <c r="L22" s="8"/>
      <c r="M22" s="8"/>
      <c r="N22" s="8"/>
      <c r="O22" s="8"/>
      <c r="P22" s="8"/>
      <c r="Q22" s="8"/>
    </row>
    <row r="23" spans="1:17" ht="14.25" customHeight="1">
      <c r="B23" s="10"/>
      <c r="C23" s="10"/>
      <c r="D23" s="10"/>
      <c r="E23" s="10"/>
      <c r="F23" s="10"/>
      <c r="G23" s="10"/>
      <c r="K23" s="2" t="s">
        <v>14</v>
      </c>
      <c r="L23" s="12">
        <f t="shared" ref="L23:Q23" si="19">MAX(-4500,((6.5-B24)^3*75))</f>
        <v>9.375</v>
      </c>
      <c r="M23" s="12">
        <f t="shared" si="19"/>
        <v>9.375</v>
      </c>
      <c r="N23" s="12">
        <f t="shared" si="19"/>
        <v>9.375</v>
      </c>
      <c r="O23" s="12">
        <f t="shared" si="19"/>
        <v>9.375</v>
      </c>
      <c r="P23" s="12">
        <f t="shared" si="19"/>
        <v>9.375</v>
      </c>
      <c r="Q23" s="12">
        <f t="shared" si="19"/>
        <v>9.375</v>
      </c>
    </row>
    <row r="24" spans="1:17" ht="14.25" customHeight="1">
      <c r="A24" s="2" t="s">
        <v>15</v>
      </c>
      <c r="B24" s="13">
        <f>Keuzes!B18</f>
        <v>6</v>
      </c>
      <c r="C24" s="13">
        <f>Keuzes!C18</f>
        <v>6</v>
      </c>
      <c r="D24" s="13">
        <f>Keuzes!D18</f>
        <v>6</v>
      </c>
      <c r="E24" s="13">
        <f>Keuzes!E18</f>
        <v>6</v>
      </c>
      <c r="F24" s="13">
        <f>Keuzes!F18</f>
        <v>6</v>
      </c>
      <c r="G24" s="13">
        <f>Keuzes!G18</f>
        <v>6</v>
      </c>
      <c r="H24" s="1">
        <f t="shared" ref="H24:H26" si="20">AVERAGE(B24:G24)</f>
        <v>6</v>
      </c>
      <c r="K24" s="14" t="s">
        <v>16</v>
      </c>
      <c r="L24" s="6">
        <f t="shared" ref="L24:Q24" si="21">400*B25</f>
        <v>1600</v>
      </c>
      <c r="M24" s="6">
        <f t="shared" si="21"/>
        <v>1600</v>
      </c>
      <c r="N24" s="6">
        <f t="shared" si="21"/>
        <v>1600</v>
      </c>
      <c r="O24" s="6">
        <f t="shared" si="21"/>
        <v>1600</v>
      </c>
      <c r="P24" s="6">
        <f t="shared" si="21"/>
        <v>1600</v>
      </c>
      <c r="Q24" s="6">
        <f t="shared" si="21"/>
        <v>1600</v>
      </c>
    </row>
    <row r="25" spans="1:17" ht="14.25" customHeight="1">
      <c r="A25" s="1" t="s">
        <v>17</v>
      </c>
      <c r="B25" s="13">
        <f>Keuzes!B19*2</f>
        <v>4</v>
      </c>
      <c r="C25" s="13">
        <f>Keuzes!C19*2</f>
        <v>4</v>
      </c>
      <c r="D25" s="13">
        <f>Keuzes!D19*2</f>
        <v>4</v>
      </c>
      <c r="E25" s="13">
        <f>Keuzes!E19*2</f>
        <v>4</v>
      </c>
      <c r="F25" s="13">
        <f>Keuzes!F19*2</f>
        <v>4</v>
      </c>
      <c r="G25" s="13">
        <f>Keuzes!G19*2</f>
        <v>4</v>
      </c>
      <c r="H25" s="1">
        <f t="shared" si="20"/>
        <v>4</v>
      </c>
      <c r="I25" s="1">
        <f>MAX(B25:G25)</f>
        <v>4</v>
      </c>
      <c r="K25" s="2" t="s">
        <v>18</v>
      </c>
      <c r="L25" s="1">
        <f t="shared" ref="L25:Q25" si="22">SUM(L22:L24)</f>
        <v>1609.375</v>
      </c>
      <c r="M25" s="1">
        <f t="shared" si="22"/>
        <v>1609.375</v>
      </c>
      <c r="N25" s="1">
        <f t="shared" si="22"/>
        <v>1609.375</v>
      </c>
      <c r="O25" s="1">
        <f t="shared" si="22"/>
        <v>1609.375</v>
      </c>
      <c r="P25" s="1">
        <f t="shared" si="22"/>
        <v>1609.375</v>
      </c>
      <c r="Q25" s="1">
        <f t="shared" si="22"/>
        <v>1609.375</v>
      </c>
    </row>
    <row r="26" spans="1:17" ht="14.25" customHeight="1">
      <c r="A26" s="2" t="s">
        <v>3</v>
      </c>
      <c r="B26" s="13">
        <f t="shared" ref="B26:G26" si="23">B24/B25</f>
        <v>1.5</v>
      </c>
      <c r="C26" s="13">
        <f t="shared" si="23"/>
        <v>1.5</v>
      </c>
      <c r="D26" s="13">
        <f t="shared" si="23"/>
        <v>1.5</v>
      </c>
      <c r="E26" s="13">
        <f t="shared" si="23"/>
        <v>1.5</v>
      </c>
      <c r="F26" s="13">
        <f t="shared" si="23"/>
        <v>1.5</v>
      </c>
      <c r="G26" s="13">
        <f t="shared" si="23"/>
        <v>1.5</v>
      </c>
      <c r="H26" s="1">
        <f t="shared" si="20"/>
        <v>1.5</v>
      </c>
      <c r="K26" s="2" t="s">
        <v>19</v>
      </c>
      <c r="L26" s="16">
        <f t="shared" ref="L26:Q26" si="24">(6000/6)+(B32*6000)</f>
        <v>1000</v>
      </c>
      <c r="M26" s="16">
        <f t="shared" si="24"/>
        <v>1000</v>
      </c>
      <c r="N26" s="16">
        <f t="shared" si="24"/>
        <v>1000</v>
      </c>
      <c r="O26" s="16">
        <f t="shared" si="24"/>
        <v>1000</v>
      </c>
      <c r="P26" s="16">
        <f t="shared" si="24"/>
        <v>1000</v>
      </c>
      <c r="Q26" s="16">
        <f t="shared" si="24"/>
        <v>1000</v>
      </c>
    </row>
    <row r="27" spans="1:17" ht="14.25" customHeight="1">
      <c r="A27" s="1" t="s">
        <v>20</v>
      </c>
      <c r="B27" s="13">
        <f>Keuzes!B21</f>
        <v>0</v>
      </c>
      <c r="C27" s="13">
        <f>Keuzes!C21</f>
        <v>0</v>
      </c>
      <c r="D27" s="13">
        <f>Keuzes!D21</f>
        <v>0</v>
      </c>
      <c r="E27" s="13">
        <f>Keuzes!E21</f>
        <v>0</v>
      </c>
      <c r="F27" s="13">
        <f>Keuzes!F21</f>
        <v>0</v>
      </c>
      <c r="G27" s="13">
        <f>Keuzes!G21</f>
        <v>0</v>
      </c>
      <c r="H27" s="1">
        <f>AVERAGE(B27:G27)+0.1</f>
        <v>0.1</v>
      </c>
      <c r="K27" s="2" t="s">
        <v>21</v>
      </c>
      <c r="L27" s="1">
        <f t="shared" ref="L27:Q27" si="25">L22*(0.1*B33)+(B27*50)</f>
        <v>0</v>
      </c>
      <c r="M27" s="1">
        <f t="shared" si="25"/>
        <v>0</v>
      </c>
      <c r="N27" s="1">
        <f t="shared" si="25"/>
        <v>0</v>
      </c>
      <c r="O27" s="1">
        <f t="shared" si="25"/>
        <v>0</v>
      </c>
      <c r="P27" s="1">
        <f t="shared" si="25"/>
        <v>0</v>
      </c>
      <c r="Q27" s="1">
        <f t="shared" si="25"/>
        <v>0</v>
      </c>
    </row>
    <row r="28" spans="1:17" ht="14.25" customHeight="1">
      <c r="K28" s="2" t="s">
        <v>36</v>
      </c>
      <c r="L28" s="6">
        <f t="shared" ref="L28:Q28" si="26">L25+L26</f>
        <v>2609.375</v>
      </c>
      <c r="M28" s="6">
        <f t="shared" si="26"/>
        <v>2609.375</v>
      </c>
      <c r="N28" s="6">
        <f t="shared" si="26"/>
        <v>2609.375</v>
      </c>
      <c r="O28" s="6">
        <f t="shared" si="26"/>
        <v>2609.375</v>
      </c>
      <c r="P28" s="6">
        <f t="shared" si="26"/>
        <v>2609.375</v>
      </c>
      <c r="Q28" s="6">
        <f t="shared" si="26"/>
        <v>2609.375</v>
      </c>
    </row>
    <row r="29" spans="1:17" ht="14.25" customHeigh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L29" s="23"/>
      <c r="M29" s="23"/>
      <c r="N29" s="23"/>
      <c r="O29" s="23"/>
      <c r="P29" s="23"/>
      <c r="Q29" s="23"/>
    </row>
    <row r="30" spans="1:17" ht="14.25" customHeight="1">
      <c r="A30" s="2" t="s">
        <v>37</v>
      </c>
      <c r="B30" s="13">
        <f t="shared" ref="B30:G30" si="27">(B24/$H$24)</f>
        <v>1</v>
      </c>
      <c r="C30" s="13">
        <f t="shared" si="27"/>
        <v>1</v>
      </c>
      <c r="D30" s="13">
        <f t="shared" si="27"/>
        <v>1</v>
      </c>
      <c r="E30" s="13">
        <f t="shared" si="27"/>
        <v>1</v>
      </c>
      <c r="F30" s="13">
        <f t="shared" si="27"/>
        <v>1</v>
      </c>
      <c r="G30" s="13">
        <f t="shared" si="27"/>
        <v>1</v>
      </c>
      <c r="K30" s="2" t="s">
        <v>22</v>
      </c>
      <c r="L30" s="6">
        <f t="shared" ref="L30:Q30" si="28">MAX(0,L28)</f>
        <v>2609.375</v>
      </c>
      <c r="M30" s="6">
        <f t="shared" si="28"/>
        <v>2609.375</v>
      </c>
      <c r="N30" s="6">
        <f t="shared" si="28"/>
        <v>2609.375</v>
      </c>
      <c r="O30" s="6">
        <f t="shared" si="28"/>
        <v>2609.375</v>
      </c>
      <c r="P30" s="6">
        <f t="shared" si="28"/>
        <v>2609.375</v>
      </c>
      <c r="Q30" s="6">
        <f t="shared" si="28"/>
        <v>2609.375</v>
      </c>
    </row>
    <row r="31" spans="1:17" ht="14.25" customHeight="1">
      <c r="A31" s="2" t="s">
        <v>16</v>
      </c>
      <c r="B31" s="13">
        <f t="shared" ref="B31:G31" si="29">$H$25/B25</f>
        <v>1</v>
      </c>
      <c r="C31" s="13">
        <f t="shared" si="29"/>
        <v>1</v>
      </c>
      <c r="D31" s="13">
        <f t="shared" si="29"/>
        <v>1</v>
      </c>
      <c r="E31" s="13">
        <f t="shared" si="29"/>
        <v>1</v>
      </c>
      <c r="F31" s="13">
        <f t="shared" si="29"/>
        <v>1</v>
      </c>
      <c r="G31" s="13">
        <f t="shared" si="29"/>
        <v>1</v>
      </c>
      <c r="K31" s="2" t="s">
        <v>24</v>
      </c>
      <c r="L31" s="6">
        <f t="shared" ref="L31:Q31" si="30">MIN(L34,((L30+L42)))</f>
        <v>1500</v>
      </c>
      <c r="M31" s="6">
        <f t="shared" si="30"/>
        <v>1500</v>
      </c>
      <c r="N31" s="6">
        <f t="shared" si="30"/>
        <v>1500</v>
      </c>
      <c r="O31" s="6">
        <f t="shared" si="30"/>
        <v>1500</v>
      </c>
      <c r="P31" s="6">
        <f t="shared" si="30"/>
        <v>1500</v>
      </c>
      <c r="Q31" s="6">
        <f t="shared" si="30"/>
        <v>1500</v>
      </c>
    </row>
    <row r="32" spans="1:17" ht="14.25" customHeight="1">
      <c r="A32" s="2" t="s">
        <v>26</v>
      </c>
      <c r="B32" s="17">
        <f t="shared" ref="B32:G32" si="31">(B35-B33)*5</f>
        <v>0</v>
      </c>
      <c r="C32" s="17">
        <f t="shared" si="31"/>
        <v>0</v>
      </c>
      <c r="D32" s="17">
        <f t="shared" si="31"/>
        <v>0</v>
      </c>
      <c r="E32" s="17">
        <f t="shared" si="31"/>
        <v>0</v>
      </c>
      <c r="F32" s="17">
        <f t="shared" si="31"/>
        <v>0</v>
      </c>
      <c r="G32" s="17">
        <f t="shared" si="31"/>
        <v>0</v>
      </c>
      <c r="I32" s="18">
        <f>SUM(B32:G32)</f>
        <v>0</v>
      </c>
      <c r="K32" s="2" t="s">
        <v>27</v>
      </c>
      <c r="L32" s="6">
        <f t="shared" ref="L32:Q32" si="32">L30*B24</f>
        <v>15656.25</v>
      </c>
      <c r="M32" s="6">
        <f t="shared" si="32"/>
        <v>15656.25</v>
      </c>
      <c r="N32" s="6">
        <f t="shared" si="32"/>
        <v>15656.25</v>
      </c>
      <c r="O32" s="6">
        <f t="shared" si="32"/>
        <v>15656.25</v>
      </c>
      <c r="P32" s="6">
        <f t="shared" si="32"/>
        <v>15656.25</v>
      </c>
      <c r="Q32" s="6">
        <f t="shared" si="32"/>
        <v>15656.25</v>
      </c>
    </row>
    <row r="33" spans="1:17" ht="14.25" customHeight="1">
      <c r="A33" s="2" t="s">
        <v>28</v>
      </c>
      <c r="B33" s="13">
        <f t="shared" ref="B33:G33" si="33">100/6/100</f>
        <v>0.16666666666666669</v>
      </c>
      <c r="C33" s="13">
        <f t="shared" si="33"/>
        <v>0.16666666666666669</v>
      </c>
      <c r="D33" s="13">
        <f t="shared" si="33"/>
        <v>0.16666666666666669</v>
      </c>
      <c r="E33" s="13">
        <f t="shared" si="33"/>
        <v>0.16666666666666669</v>
      </c>
      <c r="F33" s="13">
        <f t="shared" si="33"/>
        <v>0.16666666666666669</v>
      </c>
      <c r="G33" s="13">
        <f t="shared" si="33"/>
        <v>0.16666666666666669</v>
      </c>
      <c r="I33" s="19">
        <f>SUM(B26:G26)</f>
        <v>9</v>
      </c>
      <c r="K33" s="2" t="s">
        <v>27</v>
      </c>
      <c r="L33" s="1">
        <f t="shared" ref="L33:Q33" si="34">L31*B24</f>
        <v>9000</v>
      </c>
      <c r="M33" s="1">
        <f t="shared" si="34"/>
        <v>9000</v>
      </c>
      <c r="N33" s="1">
        <f t="shared" si="34"/>
        <v>9000</v>
      </c>
      <c r="O33" s="1">
        <f t="shared" si="34"/>
        <v>9000</v>
      </c>
      <c r="P33" s="1">
        <f t="shared" si="34"/>
        <v>9000</v>
      </c>
      <c r="Q33" s="1">
        <f t="shared" si="34"/>
        <v>9000</v>
      </c>
    </row>
    <row r="34" spans="1:17" ht="14.25" customHeight="1">
      <c r="A34" s="2" t="s">
        <v>30</v>
      </c>
      <c r="B34" s="1">
        <f t="shared" ref="B34:G34" si="35">1/B26</f>
        <v>0.66666666666666663</v>
      </c>
      <c r="C34" s="1">
        <f t="shared" si="35"/>
        <v>0.66666666666666663</v>
      </c>
      <c r="D34" s="1">
        <f t="shared" si="35"/>
        <v>0.66666666666666663</v>
      </c>
      <c r="E34" s="1">
        <f t="shared" si="35"/>
        <v>0.66666666666666663</v>
      </c>
      <c r="F34" s="1">
        <f t="shared" si="35"/>
        <v>0.66666666666666663</v>
      </c>
      <c r="G34" s="1">
        <f t="shared" si="35"/>
        <v>0.66666666666666663</v>
      </c>
      <c r="I34" s="1">
        <f t="shared" ref="I34:I36" si="36">SUM(B34:G34)</f>
        <v>3.9999999999999996</v>
      </c>
      <c r="K34" s="2" t="s">
        <v>29</v>
      </c>
      <c r="L34" s="20">
        <f>Capaciteit!S13</f>
        <v>1500</v>
      </c>
      <c r="M34" s="20">
        <f>Capaciteit!T13</f>
        <v>1500</v>
      </c>
      <c r="N34" s="20">
        <f>Capaciteit!U13</f>
        <v>1500</v>
      </c>
      <c r="O34" s="20">
        <f>Capaciteit!V13</f>
        <v>1500</v>
      </c>
      <c r="P34" s="20">
        <f>Capaciteit!W13</f>
        <v>1500</v>
      </c>
      <c r="Q34" s="20">
        <f>Capaciteit!X13</f>
        <v>1500</v>
      </c>
    </row>
    <row r="35" spans="1:17" ht="14.25" customHeight="1">
      <c r="A35" s="2" t="s">
        <v>31</v>
      </c>
      <c r="B35" s="10">
        <f t="shared" ref="B35:G35" si="37">B34/$I34</f>
        <v>0.16666666666666669</v>
      </c>
      <c r="C35" s="10">
        <f t="shared" si="37"/>
        <v>0.16666666666666669</v>
      </c>
      <c r="D35" s="10">
        <f t="shared" si="37"/>
        <v>0.16666666666666669</v>
      </c>
      <c r="E35" s="10">
        <f t="shared" si="37"/>
        <v>0.16666666666666669</v>
      </c>
      <c r="F35" s="10">
        <f t="shared" si="37"/>
        <v>0.16666666666666669</v>
      </c>
      <c r="G35" s="10">
        <f t="shared" si="37"/>
        <v>0.16666666666666669</v>
      </c>
      <c r="I35" s="1">
        <f t="shared" si="36"/>
        <v>1.0000000000000002</v>
      </c>
    </row>
    <row r="36" spans="1:17" ht="14.25" customHeight="1">
      <c r="A36" s="2" t="s">
        <v>32</v>
      </c>
      <c r="B36" s="1">
        <f t="shared" ref="B36:G36" si="38">B35-B33</f>
        <v>0</v>
      </c>
      <c r="C36" s="1">
        <f t="shared" si="38"/>
        <v>0</v>
      </c>
      <c r="D36" s="1">
        <f t="shared" si="38"/>
        <v>0</v>
      </c>
      <c r="E36" s="1">
        <f t="shared" si="38"/>
        <v>0</v>
      </c>
      <c r="F36" s="1">
        <f t="shared" si="38"/>
        <v>0</v>
      </c>
      <c r="G36" s="1">
        <f t="shared" si="38"/>
        <v>0</v>
      </c>
      <c r="I36" s="1">
        <f t="shared" si="36"/>
        <v>0</v>
      </c>
      <c r="L36" s="6"/>
      <c r="M36" s="6"/>
      <c r="N36" s="6"/>
      <c r="O36" s="6"/>
      <c r="P36" s="6"/>
      <c r="Q36" s="6"/>
    </row>
    <row r="37" spans="1:17" ht="14.25" customHeight="1"/>
    <row r="38" spans="1:17" ht="14.25" customHeight="1">
      <c r="N38" s="6"/>
      <c r="O38" s="6"/>
      <c r="P38" s="6"/>
      <c r="Q38" s="6"/>
    </row>
    <row r="39" spans="1:17" ht="14.25" customHeight="1"/>
    <row r="40" spans="1:17" ht="14.25" customHeight="1"/>
    <row r="41" spans="1:17" ht="14.25" customHeight="1"/>
    <row r="42" spans="1:17" ht="14.25" customHeight="1">
      <c r="K42" s="2" t="s">
        <v>38</v>
      </c>
      <c r="L42" s="6">
        <f t="shared" ref="L42:Q42" si="39">L40*$R36</f>
        <v>0</v>
      </c>
      <c r="M42" s="6">
        <f t="shared" si="39"/>
        <v>0</v>
      </c>
      <c r="N42" s="6">
        <f t="shared" si="39"/>
        <v>0</v>
      </c>
      <c r="O42" s="6">
        <f t="shared" si="39"/>
        <v>0</v>
      </c>
      <c r="P42" s="6">
        <f t="shared" si="39"/>
        <v>0</v>
      </c>
      <c r="Q42" s="6">
        <f t="shared" si="39"/>
        <v>0</v>
      </c>
    </row>
    <row r="43" spans="1:17" ht="14.25" customHeight="1">
      <c r="K43" s="1" t="s">
        <v>33</v>
      </c>
      <c r="L43" s="3">
        <f t="shared" ref="L43:Q43" si="40">L31</f>
        <v>1500</v>
      </c>
      <c r="M43" s="3">
        <f t="shared" si="40"/>
        <v>1500</v>
      </c>
      <c r="N43" s="3">
        <f t="shared" si="40"/>
        <v>1500</v>
      </c>
      <c r="O43" s="3">
        <f t="shared" si="40"/>
        <v>1500</v>
      </c>
      <c r="P43" s="3">
        <f t="shared" si="40"/>
        <v>1500</v>
      </c>
      <c r="Q43" s="3">
        <f t="shared" si="40"/>
        <v>1500</v>
      </c>
    </row>
    <row r="44" spans="1:17" ht="14.25" customHeight="1">
      <c r="K44" s="1" t="s">
        <v>34</v>
      </c>
      <c r="L44" s="3">
        <f t="shared" ref="L44:Q44" si="41">L33</f>
        <v>9000</v>
      </c>
      <c r="M44" s="3">
        <f t="shared" si="41"/>
        <v>9000</v>
      </c>
      <c r="N44" s="3">
        <f t="shared" si="41"/>
        <v>9000</v>
      </c>
      <c r="O44" s="3">
        <f t="shared" si="41"/>
        <v>9000</v>
      </c>
      <c r="P44" s="3">
        <f t="shared" si="41"/>
        <v>9000</v>
      </c>
      <c r="Q44" s="3">
        <f t="shared" si="41"/>
        <v>9000</v>
      </c>
    </row>
    <row r="45" spans="1:17" ht="14.25" customHeight="1">
      <c r="K45" s="1" t="s">
        <v>35</v>
      </c>
    </row>
    <row r="46" spans="1:17" ht="14.25" customHeight="1"/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/>
  <cols>
    <col min="1" max="1" width="11.625" customWidth="1"/>
    <col min="2" max="8" width="7.625" customWidth="1"/>
    <col min="9" max="9" width="9.375" customWidth="1"/>
    <col min="10" max="10" width="7.625" customWidth="1"/>
    <col min="11" max="11" width="8.75" customWidth="1"/>
    <col min="12" max="13" width="7.625" customWidth="1"/>
    <col min="14" max="14" width="8.75" customWidth="1"/>
    <col min="15" max="15" width="7.625" customWidth="1"/>
    <col min="16" max="16" width="9.625" customWidth="1"/>
    <col min="17" max="17" width="7.625" customWidth="1"/>
    <col min="18" max="18" width="10.25" customWidth="1"/>
    <col min="19" max="26" width="7.625" customWidth="1"/>
  </cols>
  <sheetData>
    <row r="1" spans="1:26" ht="14.25" customHeight="1"/>
    <row r="2" spans="1:26" ht="14.25" customHeight="1">
      <c r="A2" s="1" t="s">
        <v>0</v>
      </c>
      <c r="B2" s="2">
        <v>20000</v>
      </c>
      <c r="C2" s="2">
        <v>750</v>
      </c>
      <c r="D2" s="1">
        <f>B12</f>
        <v>6</v>
      </c>
      <c r="F2" s="2">
        <v>15000</v>
      </c>
      <c r="G2" s="3"/>
      <c r="H2" s="4">
        <v>1000</v>
      </c>
    </row>
    <row r="3" spans="1:26" ht="14.25" customHeight="1"/>
    <row r="4" spans="1:26" ht="14.25" customHeight="1"/>
    <row r="5" spans="1:26" ht="14.25" customHeight="1">
      <c r="B5" s="1" t="s">
        <v>1</v>
      </c>
      <c r="C5" s="1" t="s">
        <v>2</v>
      </c>
      <c r="D5" s="1" t="s">
        <v>3</v>
      </c>
      <c r="E5" s="1" t="s">
        <v>4</v>
      </c>
      <c r="G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S5" s="2" t="s">
        <v>11</v>
      </c>
    </row>
    <row r="6" spans="1:26" ht="14.25" customHeight="1">
      <c r="A6" s="1">
        <v>1</v>
      </c>
      <c r="B6" s="2">
        <f>Keuzes!B4</f>
        <v>6</v>
      </c>
      <c r="C6" s="1">
        <f>2*Keuzes!B5</f>
        <v>4</v>
      </c>
      <c r="D6" s="1">
        <f t="shared" ref="D6:D11" si="0">((B6/C6))</f>
        <v>1.5</v>
      </c>
      <c r="E6" s="1">
        <f>Keuzes!B7</f>
        <v>0</v>
      </c>
      <c r="G6" s="1">
        <v>1</v>
      </c>
      <c r="H6" s="3">
        <f t="shared" ref="H6:H11" si="1">$H$2</f>
        <v>1000</v>
      </c>
      <c r="I6" s="3">
        <f t="shared" ref="I6:I11" si="2">((H6/B14)-H6)+((8-B6)*500)</f>
        <v>1000</v>
      </c>
      <c r="J6" s="3">
        <f t="shared" ref="J6:J11" si="3">(MAX(0,((H6/C14)-H6))+((C6-5)*200))</f>
        <v>-200</v>
      </c>
      <c r="K6" s="3">
        <f t="shared" ref="K6:K11" si="4">H6+I6+J6</f>
        <v>1800</v>
      </c>
      <c r="L6" s="3">
        <f t="shared" ref="L6:L11" si="5">H6*(0.1*E14)+(E6*50)</f>
        <v>-10.000000000000002</v>
      </c>
      <c r="M6" s="5">
        <f t="shared" ref="M6:M11" si="6">MAX(0,((K6+L6)*D14))</f>
        <v>1790</v>
      </c>
      <c r="N6" s="3">
        <f t="shared" ref="N6:N11" si="7">MIN(Q6,(M6+V6))</f>
        <v>1500</v>
      </c>
      <c r="O6" s="5">
        <f t="shared" ref="O6:O11" si="8">M6*B6</f>
        <v>10740</v>
      </c>
      <c r="P6" s="5">
        <f t="shared" ref="P6:P11" si="9">N6*B6</f>
        <v>9000</v>
      </c>
      <c r="Q6" s="1">
        <f>Capaciteit!C13</f>
        <v>1500</v>
      </c>
      <c r="R6" s="3"/>
      <c r="S6" s="6">
        <f t="shared" ref="S6:S11" si="10">MAX(0,M6-Q6)</f>
        <v>290</v>
      </c>
      <c r="T6" s="1">
        <f t="shared" ref="T6:T11" si="11">IF(M6&gt;Q6,0,1)</f>
        <v>0</v>
      </c>
      <c r="U6" s="7">
        <f t="shared" ref="U6:U11" si="12">IF($T$12&gt;0,$S$12/$T$12*T6,0)</f>
        <v>0</v>
      </c>
      <c r="V6" s="1">
        <f t="shared" ref="V6:V11" si="13">U6*D14^2</f>
        <v>0</v>
      </c>
      <c r="W6" s="8"/>
      <c r="X6" s="8"/>
      <c r="Y6" s="8"/>
      <c r="Z6" s="8"/>
    </row>
    <row r="7" spans="1:26" ht="14.25" customHeight="1">
      <c r="A7" s="1">
        <v>2</v>
      </c>
      <c r="B7" s="2">
        <f>Keuzes!C4</f>
        <v>6</v>
      </c>
      <c r="C7" s="1">
        <f>2*Keuzes!C5</f>
        <v>4</v>
      </c>
      <c r="D7" s="1">
        <f t="shared" si="0"/>
        <v>1.5</v>
      </c>
      <c r="E7" s="1">
        <f>Keuzes!C7</f>
        <v>0</v>
      </c>
      <c r="G7" s="1">
        <v>2</v>
      </c>
      <c r="H7" s="3">
        <f t="shared" si="1"/>
        <v>1000</v>
      </c>
      <c r="I7" s="3">
        <f t="shared" si="2"/>
        <v>1000</v>
      </c>
      <c r="J7" s="3">
        <f t="shared" si="3"/>
        <v>-200</v>
      </c>
      <c r="K7" s="3">
        <f t="shared" si="4"/>
        <v>1800</v>
      </c>
      <c r="L7" s="3">
        <f t="shared" si="5"/>
        <v>-10.000000000000002</v>
      </c>
      <c r="M7" s="5">
        <f t="shared" si="6"/>
        <v>1790</v>
      </c>
      <c r="N7" s="3">
        <f t="shared" si="7"/>
        <v>1500</v>
      </c>
      <c r="O7" s="5">
        <f t="shared" si="8"/>
        <v>10740</v>
      </c>
      <c r="P7" s="5">
        <f t="shared" si="9"/>
        <v>9000</v>
      </c>
      <c r="Q7" s="1">
        <f>Capaciteit!D13</f>
        <v>1500</v>
      </c>
      <c r="R7" s="3"/>
      <c r="S7" s="6">
        <f t="shared" si="10"/>
        <v>290</v>
      </c>
      <c r="T7" s="1">
        <f t="shared" si="11"/>
        <v>0</v>
      </c>
      <c r="U7" s="7">
        <f t="shared" si="12"/>
        <v>0</v>
      </c>
      <c r="V7" s="6">
        <f t="shared" si="13"/>
        <v>0</v>
      </c>
    </row>
    <row r="8" spans="1:26" ht="14.25" customHeight="1">
      <c r="A8" s="1">
        <v>3</v>
      </c>
      <c r="B8" s="2">
        <f>Keuzes!D4</f>
        <v>6</v>
      </c>
      <c r="C8" s="1">
        <f>2*Keuzes!D5</f>
        <v>4</v>
      </c>
      <c r="D8" s="1">
        <f t="shared" si="0"/>
        <v>1.5</v>
      </c>
      <c r="E8" s="1">
        <f>Keuzes!D7</f>
        <v>0</v>
      </c>
      <c r="G8" s="1">
        <v>3</v>
      </c>
      <c r="H8" s="3">
        <f t="shared" si="1"/>
        <v>1000</v>
      </c>
      <c r="I8" s="3">
        <f t="shared" si="2"/>
        <v>1000</v>
      </c>
      <c r="J8" s="3">
        <f t="shared" si="3"/>
        <v>-200</v>
      </c>
      <c r="K8" s="3">
        <f t="shared" si="4"/>
        <v>1800</v>
      </c>
      <c r="L8" s="3">
        <f t="shared" si="5"/>
        <v>-10.000000000000002</v>
      </c>
      <c r="M8" s="5">
        <f t="shared" si="6"/>
        <v>1790</v>
      </c>
      <c r="N8" s="3">
        <f t="shared" si="7"/>
        <v>1500</v>
      </c>
      <c r="O8" s="5">
        <f t="shared" si="8"/>
        <v>10740</v>
      </c>
      <c r="P8" s="5">
        <f t="shared" si="9"/>
        <v>9000</v>
      </c>
      <c r="Q8" s="1">
        <f>Capaciteit!E13</f>
        <v>1500</v>
      </c>
      <c r="R8" s="3"/>
      <c r="S8" s="6">
        <f t="shared" si="10"/>
        <v>290</v>
      </c>
      <c r="T8" s="1">
        <f t="shared" si="11"/>
        <v>0</v>
      </c>
      <c r="U8" s="7">
        <f t="shared" si="12"/>
        <v>0</v>
      </c>
      <c r="V8" s="6">
        <f t="shared" si="13"/>
        <v>0</v>
      </c>
      <c r="W8" s="6"/>
      <c r="X8" s="6"/>
      <c r="Y8" s="6"/>
      <c r="Z8" s="6"/>
    </row>
    <row r="9" spans="1:26" ht="14.25" customHeight="1">
      <c r="A9" s="1">
        <v>4</v>
      </c>
      <c r="B9" s="2">
        <f>Keuzes!E4</f>
        <v>6</v>
      </c>
      <c r="C9" s="1">
        <f>2*Keuzes!E5</f>
        <v>4</v>
      </c>
      <c r="D9" s="1">
        <f t="shared" si="0"/>
        <v>1.5</v>
      </c>
      <c r="E9" s="1">
        <f>Keuzes!E7</f>
        <v>0</v>
      </c>
      <c r="G9" s="1">
        <v>4</v>
      </c>
      <c r="H9" s="3">
        <f t="shared" si="1"/>
        <v>1000</v>
      </c>
      <c r="I9" s="3">
        <f t="shared" si="2"/>
        <v>1000</v>
      </c>
      <c r="J9" s="3">
        <f t="shared" si="3"/>
        <v>-200</v>
      </c>
      <c r="K9" s="3">
        <f t="shared" si="4"/>
        <v>1800</v>
      </c>
      <c r="L9" s="3">
        <f t="shared" si="5"/>
        <v>-10.000000000000002</v>
      </c>
      <c r="M9" s="5">
        <f t="shared" si="6"/>
        <v>1790</v>
      </c>
      <c r="N9" s="3">
        <f t="shared" si="7"/>
        <v>1500</v>
      </c>
      <c r="O9" s="5">
        <f t="shared" si="8"/>
        <v>10740</v>
      </c>
      <c r="P9" s="5">
        <f t="shared" si="9"/>
        <v>9000</v>
      </c>
      <c r="Q9" s="1">
        <f>Capaciteit!F13</f>
        <v>1500</v>
      </c>
      <c r="R9" s="3"/>
      <c r="S9" s="6">
        <f t="shared" si="10"/>
        <v>290</v>
      </c>
      <c r="T9" s="1">
        <f t="shared" si="11"/>
        <v>0</v>
      </c>
      <c r="U9" s="7">
        <f t="shared" si="12"/>
        <v>0</v>
      </c>
      <c r="V9" s="6">
        <f t="shared" si="13"/>
        <v>0</v>
      </c>
    </row>
    <row r="10" spans="1:26" ht="14.25" customHeight="1">
      <c r="A10" s="1">
        <v>5</v>
      </c>
      <c r="B10" s="2">
        <f>Keuzes!F4</f>
        <v>6</v>
      </c>
      <c r="C10" s="1">
        <f>2*Keuzes!F5</f>
        <v>4</v>
      </c>
      <c r="D10" s="1">
        <f t="shared" si="0"/>
        <v>1.5</v>
      </c>
      <c r="E10" s="1">
        <f>Keuzes!F7</f>
        <v>0</v>
      </c>
      <c r="G10" s="1">
        <v>5</v>
      </c>
      <c r="H10" s="3">
        <f t="shared" si="1"/>
        <v>1000</v>
      </c>
      <c r="I10" s="3">
        <f t="shared" si="2"/>
        <v>1000</v>
      </c>
      <c r="J10" s="3">
        <f t="shared" si="3"/>
        <v>-200</v>
      </c>
      <c r="K10" s="3">
        <f t="shared" si="4"/>
        <v>1800</v>
      </c>
      <c r="L10" s="3">
        <f t="shared" si="5"/>
        <v>-10.000000000000002</v>
      </c>
      <c r="M10" s="5">
        <f t="shared" si="6"/>
        <v>1790</v>
      </c>
      <c r="N10" s="3">
        <f t="shared" si="7"/>
        <v>1500</v>
      </c>
      <c r="O10" s="5">
        <f t="shared" si="8"/>
        <v>10740</v>
      </c>
      <c r="P10" s="5">
        <f t="shared" si="9"/>
        <v>9000</v>
      </c>
      <c r="Q10" s="1">
        <f>Capaciteit!G13</f>
        <v>1500</v>
      </c>
      <c r="R10" s="3"/>
      <c r="S10" s="6">
        <f t="shared" si="10"/>
        <v>290</v>
      </c>
      <c r="T10" s="1">
        <f t="shared" si="11"/>
        <v>0</v>
      </c>
      <c r="U10" s="7">
        <f t="shared" si="12"/>
        <v>0</v>
      </c>
      <c r="V10" s="6">
        <f t="shared" si="13"/>
        <v>0</v>
      </c>
    </row>
    <row r="11" spans="1:26" ht="14.25" customHeight="1">
      <c r="A11" s="1">
        <v>6</v>
      </c>
      <c r="B11" s="2">
        <f>Keuzes!G4</f>
        <v>6</v>
      </c>
      <c r="C11" s="1">
        <f>2*Keuzes!G5</f>
        <v>4</v>
      </c>
      <c r="D11" s="1">
        <f t="shared" si="0"/>
        <v>1.5</v>
      </c>
      <c r="E11" s="1">
        <f>Keuzes!G7</f>
        <v>0</v>
      </c>
      <c r="G11" s="1">
        <v>6</v>
      </c>
      <c r="H11" s="3">
        <f t="shared" si="1"/>
        <v>1000</v>
      </c>
      <c r="I11" s="3">
        <f t="shared" si="2"/>
        <v>1000</v>
      </c>
      <c r="J11" s="3">
        <f t="shared" si="3"/>
        <v>-200</v>
      </c>
      <c r="K11" s="3">
        <f t="shared" si="4"/>
        <v>1800</v>
      </c>
      <c r="L11" s="3">
        <f t="shared" si="5"/>
        <v>-10.000000000000002</v>
      </c>
      <c r="M11" s="5">
        <f t="shared" si="6"/>
        <v>1790</v>
      </c>
      <c r="N11" s="3">
        <f t="shared" si="7"/>
        <v>1500</v>
      </c>
      <c r="O11" s="5">
        <f t="shared" si="8"/>
        <v>10740</v>
      </c>
      <c r="P11" s="5">
        <f t="shared" si="9"/>
        <v>9000</v>
      </c>
      <c r="Q11" s="1">
        <f>Capaciteit!H13</f>
        <v>1500</v>
      </c>
      <c r="R11" s="3"/>
      <c r="S11" s="6">
        <f t="shared" si="10"/>
        <v>290</v>
      </c>
      <c r="T11" s="1">
        <f t="shared" si="11"/>
        <v>0</v>
      </c>
      <c r="U11" s="7">
        <f t="shared" si="12"/>
        <v>0</v>
      </c>
      <c r="V11" s="6">
        <f t="shared" si="13"/>
        <v>0</v>
      </c>
    </row>
    <row r="12" spans="1:26" ht="14.25" customHeight="1">
      <c r="A12" s="1" t="s">
        <v>12</v>
      </c>
      <c r="B12" s="1">
        <f t="shared" ref="B12:D12" si="14">AVERAGE(B6:B11)</f>
        <v>6</v>
      </c>
      <c r="C12" s="1">
        <f t="shared" si="14"/>
        <v>4</v>
      </c>
      <c r="D12" s="1">
        <f t="shared" si="14"/>
        <v>1.5</v>
      </c>
      <c r="E12" s="1">
        <f>AVERAGE(E6:E11)+0.1</f>
        <v>0.1</v>
      </c>
      <c r="J12" s="3"/>
      <c r="N12" s="3"/>
      <c r="R12" s="3"/>
      <c r="S12" s="6">
        <f>SUM(S6:S11)</f>
        <v>1740</v>
      </c>
      <c r="T12" s="1">
        <f>SUM(T6:T11)</f>
        <v>0</v>
      </c>
    </row>
    <row r="13" spans="1:26" ht="14.25" customHeight="1"/>
    <row r="14" spans="1:26" ht="14.25" customHeight="1">
      <c r="A14" s="1">
        <v>1</v>
      </c>
      <c r="B14" s="1">
        <f>(B6/$B$12)^2</f>
        <v>1</v>
      </c>
      <c r="C14" s="1">
        <f t="shared" ref="C14:C19" si="15">(C$12/C6)</f>
        <v>1</v>
      </c>
      <c r="D14" s="1">
        <f t="shared" ref="D14:D19" si="16">((D$12/D6))</f>
        <v>1</v>
      </c>
      <c r="E14" s="1">
        <f t="shared" ref="E14:E19" si="17">IF($E$12=0,0,(E6/$E$12*E6)-$E$12)</f>
        <v>-0.1</v>
      </c>
      <c r="S14" s="3"/>
    </row>
    <row r="15" spans="1:26" ht="14.25" customHeight="1">
      <c r="A15" s="1">
        <v>2</v>
      </c>
      <c r="B15" s="1">
        <f t="shared" ref="B15:B19" si="18">(B7/$B$12)</f>
        <v>1</v>
      </c>
      <c r="C15" s="1">
        <f t="shared" si="15"/>
        <v>1</v>
      </c>
      <c r="D15" s="1">
        <f t="shared" si="16"/>
        <v>1</v>
      </c>
      <c r="E15" s="1">
        <f t="shared" si="17"/>
        <v>-0.1</v>
      </c>
    </row>
    <row r="16" spans="1:26" ht="14.25" customHeight="1">
      <c r="A16" s="1">
        <v>3</v>
      </c>
      <c r="B16" s="1">
        <f t="shared" si="18"/>
        <v>1</v>
      </c>
      <c r="C16" s="1">
        <f t="shared" si="15"/>
        <v>1</v>
      </c>
      <c r="D16" s="1">
        <f t="shared" si="16"/>
        <v>1</v>
      </c>
      <c r="E16" s="1">
        <f t="shared" si="17"/>
        <v>-0.1</v>
      </c>
    </row>
    <row r="17" spans="1:17" ht="14.25" customHeight="1">
      <c r="A17" s="1">
        <v>4</v>
      </c>
      <c r="B17" s="1">
        <f t="shared" si="18"/>
        <v>1</v>
      </c>
      <c r="C17" s="1">
        <f t="shared" si="15"/>
        <v>1</v>
      </c>
      <c r="D17" s="1">
        <f t="shared" si="16"/>
        <v>1</v>
      </c>
      <c r="E17" s="1">
        <f t="shared" si="17"/>
        <v>-0.1</v>
      </c>
    </row>
    <row r="18" spans="1:17" ht="14.25" customHeight="1">
      <c r="A18" s="1">
        <v>5</v>
      </c>
      <c r="B18" s="1">
        <f t="shared" si="18"/>
        <v>1</v>
      </c>
      <c r="C18" s="1">
        <f t="shared" si="15"/>
        <v>1</v>
      </c>
      <c r="D18" s="1">
        <f t="shared" si="16"/>
        <v>1</v>
      </c>
      <c r="E18" s="1">
        <f t="shared" si="17"/>
        <v>-0.1</v>
      </c>
    </row>
    <row r="19" spans="1:17" ht="14.25" customHeight="1">
      <c r="A19" s="1">
        <v>6</v>
      </c>
      <c r="B19" s="1">
        <f t="shared" si="18"/>
        <v>1</v>
      </c>
      <c r="C19" s="1">
        <f t="shared" si="15"/>
        <v>1</v>
      </c>
      <c r="D19" s="1">
        <f t="shared" si="16"/>
        <v>1</v>
      </c>
      <c r="E19" s="1">
        <f t="shared" si="17"/>
        <v>-0.1</v>
      </c>
      <c r="K19" s="9"/>
    </row>
    <row r="20" spans="1:17" ht="14.25" customHeight="1"/>
    <row r="21" spans="1:17" ht="14.25" customHeight="1">
      <c r="L21" s="2">
        <v>1</v>
      </c>
      <c r="M21" s="2">
        <v>2</v>
      </c>
      <c r="N21" s="2">
        <v>3</v>
      </c>
      <c r="O21" s="2">
        <v>4</v>
      </c>
      <c r="P21" s="2">
        <v>5</v>
      </c>
      <c r="Q21" s="2">
        <v>6</v>
      </c>
    </row>
    <row r="22" spans="1:17" ht="14.25" customHeight="1"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K22" s="2" t="s">
        <v>13</v>
      </c>
      <c r="L22" s="8"/>
      <c r="M22" s="8"/>
      <c r="N22" s="8"/>
      <c r="O22" s="8"/>
      <c r="P22" s="8"/>
      <c r="Q22" s="8"/>
    </row>
    <row r="23" spans="1:17" ht="14.25" customHeight="1">
      <c r="B23" s="10"/>
      <c r="C23" s="10"/>
      <c r="D23" s="10"/>
      <c r="E23" s="10"/>
      <c r="F23" s="10"/>
      <c r="G23" s="10"/>
      <c r="K23" s="2" t="s">
        <v>14</v>
      </c>
      <c r="L23" s="12">
        <f t="shared" ref="L23:Q23" si="19">MAX(-4500,((6.5-B24)^3*75))</f>
        <v>9.375</v>
      </c>
      <c r="M23" s="12">
        <f t="shared" si="19"/>
        <v>9.375</v>
      </c>
      <c r="N23" s="12">
        <f t="shared" si="19"/>
        <v>9.375</v>
      </c>
      <c r="O23" s="12">
        <f t="shared" si="19"/>
        <v>9.375</v>
      </c>
      <c r="P23" s="12">
        <f t="shared" si="19"/>
        <v>9.375</v>
      </c>
      <c r="Q23" s="12">
        <f t="shared" si="19"/>
        <v>9.375</v>
      </c>
    </row>
    <row r="24" spans="1:17" ht="14.25" customHeight="1">
      <c r="A24" s="2" t="s">
        <v>15</v>
      </c>
      <c r="B24" s="13">
        <f>Keuzes!R4</f>
        <v>6</v>
      </c>
      <c r="C24" s="13">
        <f>Keuzes!S4</f>
        <v>6</v>
      </c>
      <c r="D24" s="13">
        <f>Keuzes!T4</f>
        <v>6</v>
      </c>
      <c r="E24" s="13">
        <f>Keuzes!U4</f>
        <v>6</v>
      </c>
      <c r="F24" s="13">
        <f>Keuzes!V4</f>
        <v>6</v>
      </c>
      <c r="G24" s="13">
        <f>Keuzes!W4</f>
        <v>6</v>
      </c>
      <c r="H24" s="1">
        <f t="shared" ref="H24:H26" si="20">AVERAGE(B24:G24)</f>
        <v>6</v>
      </c>
      <c r="K24" s="14" t="s">
        <v>16</v>
      </c>
      <c r="L24" s="6">
        <f t="shared" ref="L24:Q24" si="21">400*B25</f>
        <v>1600</v>
      </c>
      <c r="M24" s="6">
        <f t="shared" si="21"/>
        <v>1600</v>
      </c>
      <c r="N24" s="6">
        <f t="shared" si="21"/>
        <v>1600</v>
      </c>
      <c r="O24" s="6">
        <f t="shared" si="21"/>
        <v>1600</v>
      </c>
      <c r="P24" s="6">
        <f t="shared" si="21"/>
        <v>1600</v>
      </c>
      <c r="Q24" s="6">
        <f t="shared" si="21"/>
        <v>1600</v>
      </c>
    </row>
    <row r="25" spans="1:17" ht="14.25" customHeight="1">
      <c r="A25" s="1" t="s">
        <v>17</v>
      </c>
      <c r="B25" s="13">
        <f>Keuzes!R5*2</f>
        <v>4</v>
      </c>
      <c r="C25" s="13">
        <f>Keuzes!S5*2</f>
        <v>4</v>
      </c>
      <c r="D25" s="13">
        <f>Keuzes!T5*2</f>
        <v>4</v>
      </c>
      <c r="E25" s="13">
        <f>Keuzes!U5*2</f>
        <v>4</v>
      </c>
      <c r="F25" s="13">
        <f>Keuzes!V5*2</f>
        <v>4</v>
      </c>
      <c r="G25" s="13">
        <f>Keuzes!W5*2</f>
        <v>4</v>
      </c>
      <c r="H25" s="1">
        <f t="shared" si="20"/>
        <v>4</v>
      </c>
      <c r="I25" s="1">
        <f>MAX(B25:G25)</f>
        <v>4</v>
      </c>
      <c r="K25" s="2" t="s">
        <v>18</v>
      </c>
      <c r="L25" s="1">
        <f t="shared" ref="L25:Q25" si="22">SUM(L22:L24)</f>
        <v>1609.375</v>
      </c>
      <c r="M25" s="1">
        <f t="shared" si="22"/>
        <v>1609.375</v>
      </c>
      <c r="N25" s="1">
        <f t="shared" si="22"/>
        <v>1609.375</v>
      </c>
      <c r="O25" s="1">
        <f t="shared" si="22"/>
        <v>1609.375</v>
      </c>
      <c r="P25" s="1">
        <f t="shared" si="22"/>
        <v>1609.375</v>
      </c>
      <c r="Q25" s="1">
        <f t="shared" si="22"/>
        <v>1609.375</v>
      </c>
    </row>
    <row r="26" spans="1:17" ht="14.25" customHeight="1">
      <c r="A26" s="2" t="s">
        <v>3</v>
      </c>
      <c r="B26" s="13">
        <f t="shared" ref="B26:G26" si="23">B24/B25</f>
        <v>1.5</v>
      </c>
      <c r="C26" s="13">
        <f t="shared" si="23"/>
        <v>1.5</v>
      </c>
      <c r="D26" s="13">
        <f t="shared" si="23"/>
        <v>1.5</v>
      </c>
      <c r="E26" s="13">
        <f t="shared" si="23"/>
        <v>1.5</v>
      </c>
      <c r="F26" s="13">
        <f t="shared" si="23"/>
        <v>1.5</v>
      </c>
      <c r="G26" s="13">
        <f t="shared" si="23"/>
        <v>1.5</v>
      </c>
      <c r="H26" s="1">
        <f t="shared" si="20"/>
        <v>1.5</v>
      </c>
      <c r="K26" s="2" t="s">
        <v>19</v>
      </c>
      <c r="L26" s="16">
        <f t="shared" ref="L26:Q26" si="24">(6000/6)+(B32*6000)</f>
        <v>1000</v>
      </c>
      <c r="M26" s="16">
        <f t="shared" si="24"/>
        <v>1000</v>
      </c>
      <c r="N26" s="16">
        <f t="shared" si="24"/>
        <v>1000</v>
      </c>
      <c r="O26" s="16">
        <f t="shared" si="24"/>
        <v>1000</v>
      </c>
      <c r="P26" s="16">
        <f t="shared" si="24"/>
        <v>1000</v>
      </c>
      <c r="Q26" s="16">
        <f t="shared" si="24"/>
        <v>1000</v>
      </c>
    </row>
    <row r="27" spans="1:17" ht="14.25" customHeight="1">
      <c r="A27" s="1" t="s">
        <v>20</v>
      </c>
      <c r="B27" s="13">
        <f>Keuzes!R7</f>
        <v>0</v>
      </c>
      <c r="C27" s="13">
        <f>Keuzes!S7</f>
        <v>0</v>
      </c>
      <c r="D27" s="13">
        <f>Keuzes!T7</f>
        <v>0</v>
      </c>
      <c r="E27" s="13">
        <f>Keuzes!U7</f>
        <v>0</v>
      </c>
      <c r="F27" s="13">
        <f>Keuzes!V7</f>
        <v>0</v>
      </c>
      <c r="G27" s="13">
        <f>Keuzes!W7</f>
        <v>0</v>
      </c>
      <c r="H27" s="1">
        <f>AVERAGE(B27:G27)+0.1</f>
        <v>0.1</v>
      </c>
      <c r="K27" s="2" t="s">
        <v>21</v>
      </c>
      <c r="L27" s="1">
        <f t="shared" ref="L27:Q27" si="25">L22*(0.1*B33)+(B27*50)</f>
        <v>0</v>
      </c>
      <c r="M27" s="1">
        <f t="shared" si="25"/>
        <v>0</v>
      </c>
      <c r="N27" s="1">
        <f t="shared" si="25"/>
        <v>0</v>
      </c>
      <c r="O27" s="1">
        <f t="shared" si="25"/>
        <v>0</v>
      </c>
      <c r="P27" s="1">
        <f t="shared" si="25"/>
        <v>0</v>
      </c>
      <c r="Q27" s="1">
        <f t="shared" si="25"/>
        <v>0</v>
      </c>
    </row>
    <row r="28" spans="1:17" ht="14.25" customHeight="1">
      <c r="K28" s="2" t="s">
        <v>36</v>
      </c>
      <c r="L28" s="6">
        <f t="shared" ref="L28:Q28" si="26">L25+L26</f>
        <v>2609.375</v>
      </c>
      <c r="M28" s="6">
        <f t="shared" si="26"/>
        <v>2609.375</v>
      </c>
      <c r="N28" s="6">
        <f t="shared" si="26"/>
        <v>2609.375</v>
      </c>
      <c r="O28" s="6">
        <f t="shared" si="26"/>
        <v>2609.375</v>
      </c>
      <c r="P28" s="6">
        <f t="shared" si="26"/>
        <v>2609.375</v>
      </c>
      <c r="Q28" s="6">
        <f t="shared" si="26"/>
        <v>2609.375</v>
      </c>
    </row>
    <row r="29" spans="1:17" ht="14.25" customHeigh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L29" s="23"/>
      <c r="M29" s="23"/>
      <c r="N29" s="23"/>
      <c r="O29" s="23"/>
      <c r="P29" s="23"/>
      <c r="Q29" s="23"/>
    </row>
    <row r="30" spans="1:17" ht="14.25" customHeight="1">
      <c r="A30" s="2" t="s">
        <v>37</v>
      </c>
      <c r="B30" s="13">
        <f t="shared" ref="B30:G30" si="27">(B24/$H$24)</f>
        <v>1</v>
      </c>
      <c r="C30" s="13">
        <f t="shared" si="27"/>
        <v>1</v>
      </c>
      <c r="D30" s="13">
        <f t="shared" si="27"/>
        <v>1</v>
      </c>
      <c r="E30" s="13">
        <f t="shared" si="27"/>
        <v>1</v>
      </c>
      <c r="F30" s="13">
        <f t="shared" si="27"/>
        <v>1</v>
      </c>
      <c r="G30" s="13">
        <f t="shared" si="27"/>
        <v>1</v>
      </c>
      <c r="K30" s="2" t="s">
        <v>22</v>
      </c>
      <c r="L30" s="6">
        <f t="shared" ref="L30:Q30" si="28">MAX(0,L28)</f>
        <v>2609.375</v>
      </c>
      <c r="M30" s="6">
        <f t="shared" si="28"/>
        <v>2609.375</v>
      </c>
      <c r="N30" s="6">
        <f t="shared" si="28"/>
        <v>2609.375</v>
      </c>
      <c r="O30" s="6">
        <f t="shared" si="28"/>
        <v>2609.375</v>
      </c>
      <c r="P30" s="6">
        <f t="shared" si="28"/>
        <v>2609.375</v>
      </c>
      <c r="Q30" s="6">
        <f t="shared" si="28"/>
        <v>2609.375</v>
      </c>
    </row>
    <row r="31" spans="1:17" ht="14.25" customHeight="1">
      <c r="A31" s="2" t="s">
        <v>16</v>
      </c>
      <c r="B31" s="13">
        <f t="shared" ref="B31:G31" si="29">$H$25/B25</f>
        <v>1</v>
      </c>
      <c r="C31" s="13">
        <f t="shared" si="29"/>
        <v>1</v>
      </c>
      <c r="D31" s="13">
        <f t="shared" si="29"/>
        <v>1</v>
      </c>
      <c r="E31" s="13">
        <f t="shared" si="29"/>
        <v>1</v>
      </c>
      <c r="F31" s="13">
        <f t="shared" si="29"/>
        <v>1</v>
      </c>
      <c r="G31" s="13">
        <f t="shared" si="29"/>
        <v>1</v>
      </c>
      <c r="K31" s="2" t="s">
        <v>24</v>
      </c>
      <c r="L31" s="6">
        <f t="shared" ref="L31:Q31" si="30">MIN(L34,((L30+L42)))</f>
        <v>1500</v>
      </c>
      <c r="M31" s="6">
        <f t="shared" si="30"/>
        <v>1500</v>
      </c>
      <c r="N31" s="6">
        <f t="shared" si="30"/>
        <v>1500</v>
      </c>
      <c r="O31" s="6">
        <f t="shared" si="30"/>
        <v>1500</v>
      </c>
      <c r="P31" s="6">
        <f t="shared" si="30"/>
        <v>1500</v>
      </c>
      <c r="Q31" s="6">
        <f t="shared" si="30"/>
        <v>1500</v>
      </c>
    </row>
    <row r="32" spans="1:17" ht="14.25" customHeight="1">
      <c r="A32" s="2" t="s">
        <v>26</v>
      </c>
      <c r="B32" s="17">
        <f t="shared" ref="B32:G32" si="31">(B35-B33)*5</f>
        <v>0</v>
      </c>
      <c r="C32" s="17">
        <f t="shared" si="31"/>
        <v>0</v>
      </c>
      <c r="D32" s="17">
        <f t="shared" si="31"/>
        <v>0</v>
      </c>
      <c r="E32" s="17">
        <f t="shared" si="31"/>
        <v>0</v>
      </c>
      <c r="F32" s="17">
        <f t="shared" si="31"/>
        <v>0</v>
      </c>
      <c r="G32" s="17">
        <f t="shared" si="31"/>
        <v>0</v>
      </c>
      <c r="I32" s="18">
        <f>SUM(B32:G32)</f>
        <v>0</v>
      </c>
      <c r="K32" s="2" t="s">
        <v>27</v>
      </c>
      <c r="L32" s="6">
        <f t="shared" ref="L32:Q32" si="32">L30*B24</f>
        <v>15656.25</v>
      </c>
      <c r="M32" s="6">
        <f t="shared" si="32"/>
        <v>15656.25</v>
      </c>
      <c r="N32" s="6">
        <f t="shared" si="32"/>
        <v>15656.25</v>
      </c>
      <c r="O32" s="6">
        <f t="shared" si="32"/>
        <v>15656.25</v>
      </c>
      <c r="P32" s="6">
        <f t="shared" si="32"/>
        <v>15656.25</v>
      </c>
      <c r="Q32" s="6">
        <f t="shared" si="32"/>
        <v>15656.25</v>
      </c>
    </row>
    <row r="33" spans="1:17" ht="14.25" customHeight="1">
      <c r="A33" s="2" t="s">
        <v>28</v>
      </c>
      <c r="B33" s="13">
        <f t="shared" ref="B33:G33" si="33">100/6/100</f>
        <v>0.16666666666666669</v>
      </c>
      <c r="C33" s="13">
        <f t="shared" si="33"/>
        <v>0.16666666666666669</v>
      </c>
      <c r="D33" s="13">
        <f t="shared" si="33"/>
        <v>0.16666666666666669</v>
      </c>
      <c r="E33" s="13">
        <f t="shared" si="33"/>
        <v>0.16666666666666669</v>
      </c>
      <c r="F33" s="13">
        <f t="shared" si="33"/>
        <v>0.16666666666666669</v>
      </c>
      <c r="G33" s="13">
        <f t="shared" si="33"/>
        <v>0.16666666666666669</v>
      </c>
      <c r="I33" s="19">
        <f>SUM(B26:G26)</f>
        <v>9</v>
      </c>
      <c r="K33" s="2" t="s">
        <v>27</v>
      </c>
      <c r="L33" s="1">
        <f t="shared" ref="L33:Q33" si="34">L31*B24</f>
        <v>9000</v>
      </c>
      <c r="M33" s="1">
        <f t="shared" si="34"/>
        <v>9000</v>
      </c>
      <c r="N33" s="1">
        <f t="shared" si="34"/>
        <v>9000</v>
      </c>
      <c r="O33" s="1">
        <f t="shared" si="34"/>
        <v>9000</v>
      </c>
      <c r="P33" s="1">
        <f t="shared" si="34"/>
        <v>9000</v>
      </c>
      <c r="Q33" s="1">
        <f t="shared" si="34"/>
        <v>9000</v>
      </c>
    </row>
    <row r="34" spans="1:17" ht="14.25" customHeight="1">
      <c r="A34" s="2" t="s">
        <v>30</v>
      </c>
      <c r="B34" s="1">
        <f t="shared" ref="B34:G34" si="35">1/B26</f>
        <v>0.66666666666666663</v>
      </c>
      <c r="C34" s="1">
        <f t="shared" si="35"/>
        <v>0.66666666666666663</v>
      </c>
      <c r="D34" s="1">
        <f t="shared" si="35"/>
        <v>0.66666666666666663</v>
      </c>
      <c r="E34" s="1">
        <f t="shared" si="35"/>
        <v>0.66666666666666663</v>
      </c>
      <c r="F34" s="1">
        <f t="shared" si="35"/>
        <v>0.66666666666666663</v>
      </c>
      <c r="G34" s="1">
        <f t="shared" si="35"/>
        <v>0.66666666666666663</v>
      </c>
      <c r="I34" s="1">
        <f t="shared" ref="I34:I36" si="36">SUM(B34:G34)</f>
        <v>3.9999999999999996</v>
      </c>
      <c r="K34" s="2" t="s">
        <v>29</v>
      </c>
      <c r="L34" s="20">
        <f>Capaciteit!S13</f>
        <v>1500</v>
      </c>
      <c r="M34" s="20">
        <f>Capaciteit!T13</f>
        <v>1500</v>
      </c>
      <c r="N34" s="20">
        <f>Capaciteit!U13</f>
        <v>1500</v>
      </c>
      <c r="O34" s="20">
        <f>Capaciteit!V13</f>
        <v>1500</v>
      </c>
      <c r="P34" s="20">
        <f>Capaciteit!W13</f>
        <v>1500</v>
      </c>
      <c r="Q34" s="20">
        <f>Capaciteit!X13</f>
        <v>1500</v>
      </c>
    </row>
    <row r="35" spans="1:17" ht="14.25" customHeight="1">
      <c r="A35" s="2" t="s">
        <v>31</v>
      </c>
      <c r="B35" s="10">
        <f t="shared" ref="B35:G35" si="37">B34/$I34</f>
        <v>0.16666666666666669</v>
      </c>
      <c r="C35" s="10">
        <f t="shared" si="37"/>
        <v>0.16666666666666669</v>
      </c>
      <c r="D35" s="10">
        <f t="shared" si="37"/>
        <v>0.16666666666666669</v>
      </c>
      <c r="E35" s="10">
        <f t="shared" si="37"/>
        <v>0.16666666666666669</v>
      </c>
      <c r="F35" s="10">
        <f t="shared" si="37"/>
        <v>0.16666666666666669</v>
      </c>
      <c r="G35" s="10">
        <f t="shared" si="37"/>
        <v>0.16666666666666669</v>
      </c>
      <c r="I35" s="1">
        <f t="shared" si="36"/>
        <v>1.0000000000000002</v>
      </c>
    </row>
    <row r="36" spans="1:17" ht="14.25" customHeight="1">
      <c r="A36" s="2" t="s">
        <v>32</v>
      </c>
      <c r="B36" s="1">
        <f t="shared" ref="B36:G36" si="38">B35-B33</f>
        <v>0</v>
      </c>
      <c r="C36" s="1">
        <f t="shared" si="38"/>
        <v>0</v>
      </c>
      <c r="D36" s="1">
        <f t="shared" si="38"/>
        <v>0</v>
      </c>
      <c r="E36" s="1">
        <f t="shared" si="38"/>
        <v>0</v>
      </c>
      <c r="F36" s="1">
        <f t="shared" si="38"/>
        <v>0</v>
      </c>
      <c r="G36" s="1">
        <f t="shared" si="38"/>
        <v>0</v>
      </c>
      <c r="I36" s="1">
        <f t="shared" si="36"/>
        <v>0</v>
      </c>
      <c r="L36" s="6"/>
      <c r="M36" s="6"/>
      <c r="N36" s="6"/>
      <c r="O36" s="6"/>
      <c r="P36" s="6"/>
      <c r="Q36" s="6"/>
    </row>
    <row r="37" spans="1:17" ht="14.25" customHeight="1"/>
    <row r="38" spans="1:17" ht="14.25" customHeight="1">
      <c r="N38" s="6"/>
      <c r="O38" s="6"/>
      <c r="P38" s="6"/>
      <c r="Q38" s="6"/>
    </row>
    <row r="39" spans="1:17" ht="14.25" customHeight="1"/>
    <row r="40" spans="1:17" ht="14.25" customHeight="1"/>
    <row r="41" spans="1:17" ht="14.25" customHeight="1"/>
    <row r="42" spans="1:17" ht="14.25" customHeight="1">
      <c r="K42" s="2" t="s">
        <v>38</v>
      </c>
      <c r="L42" s="6">
        <f t="shared" ref="L42:Q42" si="39">L40*$R36</f>
        <v>0</v>
      </c>
      <c r="M42" s="6">
        <f t="shared" si="39"/>
        <v>0</v>
      </c>
      <c r="N42" s="6">
        <f t="shared" si="39"/>
        <v>0</v>
      </c>
      <c r="O42" s="6">
        <f t="shared" si="39"/>
        <v>0</v>
      </c>
      <c r="P42" s="6">
        <f t="shared" si="39"/>
        <v>0</v>
      </c>
      <c r="Q42" s="6">
        <f t="shared" si="39"/>
        <v>0</v>
      </c>
    </row>
    <row r="43" spans="1:17" ht="14.25" customHeight="1">
      <c r="K43" s="1" t="s">
        <v>33</v>
      </c>
      <c r="L43" s="3">
        <f t="shared" ref="L43:Q43" si="40">L31</f>
        <v>1500</v>
      </c>
      <c r="M43" s="3">
        <f t="shared" si="40"/>
        <v>1500</v>
      </c>
      <c r="N43" s="3">
        <f t="shared" si="40"/>
        <v>1500</v>
      </c>
      <c r="O43" s="3">
        <f t="shared" si="40"/>
        <v>1500</v>
      </c>
      <c r="P43" s="3">
        <f t="shared" si="40"/>
        <v>1500</v>
      </c>
      <c r="Q43" s="3">
        <f t="shared" si="40"/>
        <v>1500</v>
      </c>
    </row>
    <row r="44" spans="1:17" ht="14.25" customHeight="1">
      <c r="K44" s="1" t="s">
        <v>34</v>
      </c>
      <c r="L44" s="3">
        <f t="shared" ref="L44:Q44" si="41">L33</f>
        <v>9000</v>
      </c>
      <c r="M44" s="3">
        <f t="shared" si="41"/>
        <v>9000</v>
      </c>
      <c r="N44" s="3">
        <f t="shared" si="41"/>
        <v>9000</v>
      </c>
      <c r="O44" s="3">
        <f t="shared" si="41"/>
        <v>9000</v>
      </c>
      <c r="P44" s="3">
        <f t="shared" si="41"/>
        <v>9000</v>
      </c>
      <c r="Q44" s="3">
        <f t="shared" si="41"/>
        <v>9000</v>
      </c>
    </row>
    <row r="45" spans="1:17" ht="14.25" customHeight="1">
      <c r="K45" s="1" t="s">
        <v>35</v>
      </c>
    </row>
    <row r="46" spans="1:17" ht="14.25" customHeight="1"/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625" defaultRowHeight="15" customHeight="1"/>
  <cols>
    <col min="1" max="1" width="11.625" customWidth="1"/>
    <col min="2" max="8" width="7.625" customWidth="1"/>
    <col min="9" max="9" width="9.375" customWidth="1"/>
    <col min="10" max="10" width="7.625" customWidth="1"/>
    <col min="11" max="11" width="8.75" customWidth="1"/>
    <col min="12" max="13" width="7.625" customWidth="1"/>
    <col min="14" max="14" width="8.75" customWidth="1"/>
    <col min="15" max="15" width="7.625" customWidth="1"/>
    <col min="16" max="16" width="9.625" customWidth="1"/>
    <col min="17" max="17" width="7.625" customWidth="1"/>
    <col min="18" max="18" width="10.25" customWidth="1"/>
    <col min="19" max="26" width="7.625" customWidth="1"/>
  </cols>
  <sheetData>
    <row r="1" spans="1:26" ht="14.25" customHeight="1"/>
    <row r="2" spans="1:26" ht="14.25" customHeight="1">
      <c r="A2" s="1" t="s">
        <v>0</v>
      </c>
      <c r="B2" s="2">
        <v>20000</v>
      </c>
      <c r="C2" s="2">
        <v>750</v>
      </c>
      <c r="D2" s="1">
        <f>B12</f>
        <v>6</v>
      </c>
      <c r="F2" s="2">
        <v>15000</v>
      </c>
      <c r="G2" s="3"/>
      <c r="H2" s="4">
        <v>1000</v>
      </c>
    </row>
    <row r="3" spans="1:26" ht="14.25" customHeight="1"/>
    <row r="4" spans="1:26" ht="14.25" customHeight="1"/>
    <row r="5" spans="1:26" ht="14.25" customHeight="1">
      <c r="B5" s="1" t="s">
        <v>1</v>
      </c>
      <c r="C5" s="1" t="s">
        <v>2</v>
      </c>
      <c r="D5" s="1" t="s">
        <v>3</v>
      </c>
      <c r="E5" s="1" t="s">
        <v>4</v>
      </c>
      <c r="G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S5" s="2" t="s">
        <v>11</v>
      </c>
    </row>
    <row r="6" spans="1:26" ht="14.25" customHeight="1">
      <c r="A6" s="1">
        <v>1</v>
      </c>
      <c r="B6" s="2">
        <f>Keuzes!B4</f>
        <v>6</v>
      </c>
      <c r="C6" s="1">
        <f>2*Keuzes!B5</f>
        <v>4</v>
      </c>
      <c r="D6" s="1">
        <f t="shared" ref="D6:D11" si="0">((B6/C6))</f>
        <v>1.5</v>
      </c>
      <c r="E6" s="1">
        <f>Keuzes!B7</f>
        <v>0</v>
      </c>
      <c r="G6" s="1">
        <v>1</v>
      </c>
      <c r="H6" s="3">
        <f t="shared" ref="H6:H11" si="1">$H$2</f>
        <v>1000</v>
      </c>
      <c r="I6" s="3">
        <f t="shared" ref="I6:I11" si="2">((H6/B14)-H6)+((8-B6)*500)</f>
        <v>1000</v>
      </c>
      <c r="J6" s="3">
        <f t="shared" ref="J6:J11" si="3">(MAX(0,((H6/C14)-H6))+((C6-5)*200))</f>
        <v>-200</v>
      </c>
      <c r="K6" s="3">
        <f t="shared" ref="K6:K11" si="4">H6+I6+J6</f>
        <v>1800</v>
      </c>
      <c r="L6" s="3">
        <f t="shared" ref="L6:L11" si="5">H6*(0.1*E14)+(E6*50)</f>
        <v>-10.000000000000002</v>
      </c>
      <c r="M6" s="5">
        <f t="shared" ref="M6:M11" si="6">MAX(0,((K6+L6)*D14))</f>
        <v>1790</v>
      </c>
      <c r="N6" s="3">
        <f t="shared" ref="N6:N11" si="7">MIN(Q6,(M6+V6))</f>
        <v>1500</v>
      </c>
      <c r="O6" s="5">
        <f t="shared" ref="O6:O11" si="8">M6*B6</f>
        <v>10740</v>
      </c>
      <c r="P6" s="5">
        <f t="shared" ref="P6:P11" si="9">N6*B6</f>
        <v>9000</v>
      </c>
      <c r="Q6" s="1">
        <f>Capaciteit!C13</f>
        <v>1500</v>
      </c>
      <c r="R6" s="3"/>
      <c r="S6" s="6">
        <f t="shared" ref="S6:S11" si="10">MAX(0,M6-Q6)</f>
        <v>290</v>
      </c>
      <c r="T6" s="1">
        <f t="shared" ref="T6:T11" si="11">IF(M6&gt;Q6,0,1)</f>
        <v>0</v>
      </c>
      <c r="U6" s="7">
        <f t="shared" ref="U6:U11" si="12">IF($T$12&gt;0,$S$12/$T$12*T6,0)</f>
        <v>0</v>
      </c>
      <c r="V6" s="1">
        <f t="shared" ref="V6:V11" si="13">U6*D14^2</f>
        <v>0</v>
      </c>
      <c r="W6" s="8"/>
      <c r="X6" s="8"/>
      <c r="Y6" s="8"/>
      <c r="Z6" s="8"/>
    </row>
    <row r="7" spans="1:26" ht="14.25" customHeight="1">
      <c r="A7" s="1">
        <v>2</v>
      </c>
      <c r="B7" s="2">
        <f>Keuzes!C4</f>
        <v>6</v>
      </c>
      <c r="C7" s="1">
        <f>2*Keuzes!C5</f>
        <v>4</v>
      </c>
      <c r="D7" s="1">
        <f t="shared" si="0"/>
        <v>1.5</v>
      </c>
      <c r="E7" s="1">
        <f>Keuzes!C7</f>
        <v>0</v>
      </c>
      <c r="G7" s="1">
        <v>2</v>
      </c>
      <c r="H7" s="3">
        <f t="shared" si="1"/>
        <v>1000</v>
      </c>
      <c r="I7" s="3">
        <f t="shared" si="2"/>
        <v>1000</v>
      </c>
      <c r="J7" s="3">
        <f t="shared" si="3"/>
        <v>-200</v>
      </c>
      <c r="K7" s="3">
        <f t="shared" si="4"/>
        <v>1800</v>
      </c>
      <c r="L7" s="3">
        <f t="shared" si="5"/>
        <v>-10.000000000000002</v>
      </c>
      <c r="M7" s="5">
        <f t="shared" si="6"/>
        <v>1790</v>
      </c>
      <c r="N7" s="3">
        <f t="shared" si="7"/>
        <v>1500</v>
      </c>
      <c r="O7" s="5">
        <f t="shared" si="8"/>
        <v>10740</v>
      </c>
      <c r="P7" s="5">
        <f t="shared" si="9"/>
        <v>9000</v>
      </c>
      <c r="Q7" s="1">
        <f>Capaciteit!D13</f>
        <v>1500</v>
      </c>
      <c r="R7" s="3"/>
      <c r="S7" s="6">
        <f t="shared" si="10"/>
        <v>290</v>
      </c>
      <c r="T7" s="1">
        <f t="shared" si="11"/>
        <v>0</v>
      </c>
      <c r="U7" s="7">
        <f t="shared" si="12"/>
        <v>0</v>
      </c>
      <c r="V7" s="6">
        <f t="shared" si="13"/>
        <v>0</v>
      </c>
    </row>
    <row r="8" spans="1:26" ht="14.25" customHeight="1">
      <c r="A8" s="1">
        <v>3</v>
      </c>
      <c r="B8" s="2">
        <f>Keuzes!D4</f>
        <v>6</v>
      </c>
      <c r="C8" s="1">
        <f>2*Keuzes!D5</f>
        <v>4</v>
      </c>
      <c r="D8" s="1">
        <f t="shared" si="0"/>
        <v>1.5</v>
      </c>
      <c r="E8" s="1">
        <f>Keuzes!D7</f>
        <v>0</v>
      </c>
      <c r="G8" s="1">
        <v>3</v>
      </c>
      <c r="H8" s="3">
        <f t="shared" si="1"/>
        <v>1000</v>
      </c>
      <c r="I8" s="3">
        <f t="shared" si="2"/>
        <v>1000</v>
      </c>
      <c r="J8" s="3">
        <f t="shared" si="3"/>
        <v>-200</v>
      </c>
      <c r="K8" s="3">
        <f t="shared" si="4"/>
        <v>1800</v>
      </c>
      <c r="L8" s="3">
        <f t="shared" si="5"/>
        <v>-10.000000000000002</v>
      </c>
      <c r="M8" s="5">
        <f t="shared" si="6"/>
        <v>1790</v>
      </c>
      <c r="N8" s="3">
        <f t="shared" si="7"/>
        <v>1500</v>
      </c>
      <c r="O8" s="5">
        <f t="shared" si="8"/>
        <v>10740</v>
      </c>
      <c r="P8" s="5">
        <f t="shared" si="9"/>
        <v>9000</v>
      </c>
      <c r="Q8" s="1">
        <f>Capaciteit!E13</f>
        <v>1500</v>
      </c>
      <c r="R8" s="3"/>
      <c r="S8" s="6">
        <f t="shared" si="10"/>
        <v>290</v>
      </c>
      <c r="T8" s="1">
        <f t="shared" si="11"/>
        <v>0</v>
      </c>
      <c r="U8" s="7">
        <f t="shared" si="12"/>
        <v>0</v>
      </c>
      <c r="V8" s="6">
        <f t="shared" si="13"/>
        <v>0</v>
      </c>
      <c r="W8" s="6"/>
      <c r="X8" s="6"/>
      <c r="Y8" s="6"/>
      <c r="Z8" s="6"/>
    </row>
    <row r="9" spans="1:26" ht="14.25" customHeight="1">
      <c r="A9" s="1">
        <v>4</v>
      </c>
      <c r="B9" s="2">
        <f>Keuzes!E4</f>
        <v>6</v>
      </c>
      <c r="C9" s="1">
        <f>2*Keuzes!E5</f>
        <v>4</v>
      </c>
      <c r="D9" s="1">
        <f t="shared" si="0"/>
        <v>1.5</v>
      </c>
      <c r="E9" s="1">
        <f>Keuzes!E7</f>
        <v>0</v>
      </c>
      <c r="G9" s="1">
        <v>4</v>
      </c>
      <c r="H9" s="3">
        <f t="shared" si="1"/>
        <v>1000</v>
      </c>
      <c r="I9" s="3">
        <f t="shared" si="2"/>
        <v>1000</v>
      </c>
      <c r="J9" s="3">
        <f t="shared" si="3"/>
        <v>-200</v>
      </c>
      <c r="K9" s="3">
        <f t="shared" si="4"/>
        <v>1800</v>
      </c>
      <c r="L9" s="3">
        <f t="shared" si="5"/>
        <v>-10.000000000000002</v>
      </c>
      <c r="M9" s="5">
        <f t="shared" si="6"/>
        <v>1790</v>
      </c>
      <c r="N9" s="3">
        <f t="shared" si="7"/>
        <v>1500</v>
      </c>
      <c r="O9" s="5">
        <f t="shared" si="8"/>
        <v>10740</v>
      </c>
      <c r="P9" s="5">
        <f t="shared" si="9"/>
        <v>9000</v>
      </c>
      <c r="Q9" s="1">
        <f>Capaciteit!F13</f>
        <v>1500</v>
      </c>
      <c r="R9" s="3"/>
      <c r="S9" s="6">
        <f t="shared" si="10"/>
        <v>290</v>
      </c>
      <c r="T9" s="1">
        <f t="shared" si="11"/>
        <v>0</v>
      </c>
      <c r="U9" s="7">
        <f t="shared" si="12"/>
        <v>0</v>
      </c>
      <c r="V9" s="6">
        <f t="shared" si="13"/>
        <v>0</v>
      </c>
    </row>
    <row r="10" spans="1:26" ht="14.25" customHeight="1">
      <c r="A10" s="1">
        <v>5</v>
      </c>
      <c r="B10" s="2">
        <f>Keuzes!F4</f>
        <v>6</v>
      </c>
      <c r="C10" s="1">
        <f>2*Keuzes!F5</f>
        <v>4</v>
      </c>
      <c r="D10" s="1">
        <f t="shared" si="0"/>
        <v>1.5</v>
      </c>
      <c r="E10" s="1">
        <f>Keuzes!F7</f>
        <v>0</v>
      </c>
      <c r="G10" s="1">
        <v>5</v>
      </c>
      <c r="H10" s="3">
        <f t="shared" si="1"/>
        <v>1000</v>
      </c>
      <c r="I10" s="3">
        <f t="shared" si="2"/>
        <v>1000</v>
      </c>
      <c r="J10" s="3">
        <f t="shared" si="3"/>
        <v>-200</v>
      </c>
      <c r="K10" s="3">
        <f t="shared" si="4"/>
        <v>1800</v>
      </c>
      <c r="L10" s="3">
        <f t="shared" si="5"/>
        <v>-10.000000000000002</v>
      </c>
      <c r="M10" s="5">
        <f t="shared" si="6"/>
        <v>1790</v>
      </c>
      <c r="N10" s="3">
        <f t="shared" si="7"/>
        <v>1500</v>
      </c>
      <c r="O10" s="5">
        <f t="shared" si="8"/>
        <v>10740</v>
      </c>
      <c r="P10" s="5">
        <f t="shared" si="9"/>
        <v>9000</v>
      </c>
      <c r="Q10" s="1">
        <f>Capaciteit!G13</f>
        <v>1500</v>
      </c>
      <c r="R10" s="3"/>
      <c r="S10" s="6">
        <f t="shared" si="10"/>
        <v>290</v>
      </c>
      <c r="T10" s="1">
        <f t="shared" si="11"/>
        <v>0</v>
      </c>
      <c r="U10" s="7">
        <f t="shared" si="12"/>
        <v>0</v>
      </c>
      <c r="V10" s="6">
        <f t="shared" si="13"/>
        <v>0</v>
      </c>
    </row>
    <row r="11" spans="1:26" ht="14.25" customHeight="1">
      <c r="A11" s="1">
        <v>6</v>
      </c>
      <c r="B11" s="2">
        <f>Keuzes!G4</f>
        <v>6</v>
      </c>
      <c r="C11" s="1">
        <f>2*Keuzes!G5</f>
        <v>4</v>
      </c>
      <c r="D11" s="1">
        <f t="shared" si="0"/>
        <v>1.5</v>
      </c>
      <c r="E11" s="1">
        <f>Keuzes!G7</f>
        <v>0</v>
      </c>
      <c r="G11" s="1">
        <v>6</v>
      </c>
      <c r="H11" s="3">
        <f t="shared" si="1"/>
        <v>1000</v>
      </c>
      <c r="I11" s="3">
        <f t="shared" si="2"/>
        <v>1000</v>
      </c>
      <c r="J11" s="3">
        <f t="shared" si="3"/>
        <v>-200</v>
      </c>
      <c r="K11" s="3">
        <f t="shared" si="4"/>
        <v>1800</v>
      </c>
      <c r="L11" s="3">
        <f t="shared" si="5"/>
        <v>-10.000000000000002</v>
      </c>
      <c r="M11" s="5">
        <f t="shared" si="6"/>
        <v>1790</v>
      </c>
      <c r="N11" s="3">
        <f t="shared" si="7"/>
        <v>1500</v>
      </c>
      <c r="O11" s="5">
        <f t="shared" si="8"/>
        <v>10740</v>
      </c>
      <c r="P11" s="5">
        <f t="shared" si="9"/>
        <v>9000</v>
      </c>
      <c r="Q11" s="1">
        <f>Capaciteit!H13</f>
        <v>1500</v>
      </c>
      <c r="R11" s="3"/>
      <c r="S11" s="6">
        <f t="shared" si="10"/>
        <v>290</v>
      </c>
      <c r="T11" s="1">
        <f t="shared" si="11"/>
        <v>0</v>
      </c>
      <c r="U11" s="7">
        <f t="shared" si="12"/>
        <v>0</v>
      </c>
      <c r="V11" s="6">
        <f t="shared" si="13"/>
        <v>0</v>
      </c>
    </row>
    <row r="12" spans="1:26" ht="14.25" customHeight="1">
      <c r="A12" s="1" t="s">
        <v>12</v>
      </c>
      <c r="B12" s="1">
        <f t="shared" ref="B12:D12" si="14">AVERAGE(B6:B11)</f>
        <v>6</v>
      </c>
      <c r="C12" s="1">
        <f t="shared" si="14"/>
        <v>4</v>
      </c>
      <c r="D12" s="1">
        <f t="shared" si="14"/>
        <v>1.5</v>
      </c>
      <c r="E12" s="1">
        <f>AVERAGE(E6:E11)+0.1</f>
        <v>0.1</v>
      </c>
      <c r="J12" s="3"/>
      <c r="N12" s="3"/>
      <c r="R12" s="3"/>
      <c r="S12" s="6">
        <f>SUM(S6:S11)</f>
        <v>1740</v>
      </c>
      <c r="T12" s="1">
        <f>SUM(T6:T11)</f>
        <v>0</v>
      </c>
    </row>
    <row r="13" spans="1:26" ht="14.25" customHeight="1"/>
    <row r="14" spans="1:26" ht="14.25" customHeight="1">
      <c r="A14" s="1">
        <v>1</v>
      </c>
      <c r="B14" s="1">
        <f>(B6/$B$12)^2</f>
        <v>1</v>
      </c>
      <c r="C14" s="1">
        <f t="shared" ref="C14:C19" si="15">(C$12/C6)</f>
        <v>1</v>
      </c>
      <c r="D14" s="1">
        <f t="shared" ref="D14:D19" si="16">((D$12/D6))</f>
        <v>1</v>
      </c>
      <c r="E14" s="1">
        <f t="shared" ref="E14:E19" si="17">IF($E$12=0,0,(E6/$E$12*E6)-$E$12)</f>
        <v>-0.1</v>
      </c>
      <c r="S14" s="3"/>
    </row>
    <row r="15" spans="1:26" ht="14.25" customHeight="1">
      <c r="A15" s="1">
        <v>2</v>
      </c>
      <c r="B15" s="1">
        <f t="shared" ref="B15:B19" si="18">(B7/$B$12)</f>
        <v>1</v>
      </c>
      <c r="C15" s="1">
        <f t="shared" si="15"/>
        <v>1</v>
      </c>
      <c r="D15" s="1">
        <f t="shared" si="16"/>
        <v>1</v>
      </c>
      <c r="E15" s="1">
        <f t="shared" si="17"/>
        <v>-0.1</v>
      </c>
    </row>
    <row r="16" spans="1:26" ht="14.25" customHeight="1">
      <c r="A16" s="1">
        <v>3</v>
      </c>
      <c r="B16" s="1">
        <f t="shared" si="18"/>
        <v>1</v>
      </c>
      <c r="C16" s="1">
        <f t="shared" si="15"/>
        <v>1</v>
      </c>
      <c r="D16" s="1">
        <f t="shared" si="16"/>
        <v>1</v>
      </c>
      <c r="E16" s="1">
        <f t="shared" si="17"/>
        <v>-0.1</v>
      </c>
    </row>
    <row r="17" spans="1:17" ht="14.25" customHeight="1">
      <c r="A17" s="1">
        <v>4</v>
      </c>
      <c r="B17" s="1">
        <f t="shared" si="18"/>
        <v>1</v>
      </c>
      <c r="C17" s="1">
        <f t="shared" si="15"/>
        <v>1</v>
      </c>
      <c r="D17" s="1">
        <f t="shared" si="16"/>
        <v>1</v>
      </c>
      <c r="E17" s="1">
        <f t="shared" si="17"/>
        <v>-0.1</v>
      </c>
    </row>
    <row r="18" spans="1:17" ht="14.25" customHeight="1">
      <c r="A18" s="1">
        <v>5</v>
      </c>
      <c r="B18" s="1">
        <f t="shared" si="18"/>
        <v>1</v>
      </c>
      <c r="C18" s="1">
        <f t="shared" si="15"/>
        <v>1</v>
      </c>
      <c r="D18" s="1">
        <f t="shared" si="16"/>
        <v>1</v>
      </c>
      <c r="E18" s="1">
        <f t="shared" si="17"/>
        <v>-0.1</v>
      </c>
    </row>
    <row r="19" spans="1:17" ht="14.25" customHeight="1">
      <c r="A19" s="1">
        <v>6</v>
      </c>
      <c r="B19" s="1">
        <f t="shared" si="18"/>
        <v>1</v>
      </c>
      <c r="C19" s="1">
        <f t="shared" si="15"/>
        <v>1</v>
      </c>
      <c r="D19" s="1">
        <f t="shared" si="16"/>
        <v>1</v>
      </c>
      <c r="E19" s="1">
        <f t="shared" si="17"/>
        <v>-0.1</v>
      </c>
      <c r="K19" s="9"/>
    </row>
    <row r="20" spans="1:17" ht="14.25" customHeight="1"/>
    <row r="21" spans="1:17" ht="14.25" customHeight="1">
      <c r="L21" s="2">
        <v>1</v>
      </c>
      <c r="M21" s="2">
        <v>2</v>
      </c>
      <c r="N21" s="2">
        <v>3</v>
      </c>
      <c r="O21" s="2">
        <v>4</v>
      </c>
      <c r="P21" s="2">
        <v>5</v>
      </c>
      <c r="Q21" s="2">
        <v>6</v>
      </c>
    </row>
    <row r="22" spans="1:17" ht="14.25" customHeight="1"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K22" s="2" t="s">
        <v>13</v>
      </c>
      <c r="L22" s="8"/>
      <c r="M22" s="8"/>
      <c r="N22" s="8"/>
      <c r="O22" s="8"/>
      <c r="P22" s="8"/>
      <c r="Q22" s="8"/>
    </row>
    <row r="23" spans="1:17" ht="14.25" customHeight="1">
      <c r="B23" s="10"/>
      <c r="C23" s="10"/>
      <c r="D23" s="10"/>
      <c r="E23" s="10"/>
      <c r="F23" s="10"/>
      <c r="G23" s="10"/>
      <c r="K23" s="2" t="s">
        <v>14</v>
      </c>
      <c r="L23" s="12">
        <f t="shared" ref="L23:Q23" si="19">MAX(-4500,((6.5-B24)^3*75))</f>
        <v>9.375</v>
      </c>
      <c r="M23" s="12">
        <f t="shared" si="19"/>
        <v>9.375</v>
      </c>
      <c r="N23" s="12">
        <f t="shared" si="19"/>
        <v>9.375</v>
      </c>
      <c r="O23" s="12">
        <f t="shared" si="19"/>
        <v>9.375</v>
      </c>
      <c r="P23" s="12">
        <f t="shared" si="19"/>
        <v>9.375</v>
      </c>
      <c r="Q23" s="12">
        <f t="shared" si="19"/>
        <v>9.375</v>
      </c>
    </row>
    <row r="24" spans="1:17" ht="14.25" customHeight="1">
      <c r="A24" s="2" t="s">
        <v>15</v>
      </c>
      <c r="B24" s="13">
        <f>Keuzes!J18</f>
        <v>6</v>
      </c>
      <c r="C24" s="13">
        <f>Keuzes!K18</f>
        <v>6</v>
      </c>
      <c r="D24" s="13">
        <f>Keuzes!L18</f>
        <v>6</v>
      </c>
      <c r="E24" s="13">
        <f>Keuzes!M18</f>
        <v>6</v>
      </c>
      <c r="F24" s="13">
        <f>Keuzes!N18</f>
        <v>6</v>
      </c>
      <c r="G24" s="13">
        <f>Keuzes!O18</f>
        <v>6</v>
      </c>
      <c r="H24" s="1">
        <f t="shared" ref="H24:H26" si="20">AVERAGE(B24:G24)</f>
        <v>6</v>
      </c>
      <c r="K24" s="14" t="s">
        <v>16</v>
      </c>
      <c r="L24" s="6">
        <f t="shared" ref="L24:Q24" si="21">400*B25</f>
        <v>1600</v>
      </c>
      <c r="M24" s="6">
        <f t="shared" si="21"/>
        <v>1600</v>
      </c>
      <c r="N24" s="6">
        <f t="shared" si="21"/>
        <v>1600</v>
      </c>
      <c r="O24" s="6">
        <f t="shared" si="21"/>
        <v>1600</v>
      </c>
      <c r="P24" s="6">
        <f t="shared" si="21"/>
        <v>1600</v>
      </c>
      <c r="Q24" s="6">
        <f t="shared" si="21"/>
        <v>1600</v>
      </c>
    </row>
    <row r="25" spans="1:17" ht="14.25" customHeight="1">
      <c r="A25" s="1" t="s">
        <v>17</v>
      </c>
      <c r="B25" s="13">
        <f>Keuzes!J19*2</f>
        <v>4</v>
      </c>
      <c r="C25" s="13">
        <f>Keuzes!K19*2</f>
        <v>4</v>
      </c>
      <c r="D25" s="13">
        <f>Keuzes!L19*2</f>
        <v>4</v>
      </c>
      <c r="E25" s="13">
        <f>Keuzes!M19*2</f>
        <v>4</v>
      </c>
      <c r="F25" s="13">
        <f>Keuzes!N19*2</f>
        <v>4</v>
      </c>
      <c r="G25" s="13">
        <f>Keuzes!O19*2</f>
        <v>4</v>
      </c>
      <c r="H25" s="1">
        <f t="shared" si="20"/>
        <v>4</v>
      </c>
      <c r="I25" s="1">
        <f>MAX(B25:G25)</f>
        <v>4</v>
      </c>
      <c r="K25" s="2" t="s">
        <v>18</v>
      </c>
      <c r="L25" s="1">
        <f t="shared" ref="L25:Q25" si="22">SUM(L22:L24)</f>
        <v>1609.375</v>
      </c>
      <c r="M25" s="1">
        <f t="shared" si="22"/>
        <v>1609.375</v>
      </c>
      <c r="N25" s="1">
        <f t="shared" si="22"/>
        <v>1609.375</v>
      </c>
      <c r="O25" s="1">
        <f t="shared" si="22"/>
        <v>1609.375</v>
      </c>
      <c r="P25" s="1">
        <f t="shared" si="22"/>
        <v>1609.375</v>
      </c>
      <c r="Q25" s="1">
        <f t="shared" si="22"/>
        <v>1609.375</v>
      </c>
    </row>
    <row r="26" spans="1:17" ht="14.25" customHeight="1">
      <c r="A26" s="2" t="s">
        <v>3</v>
      </c>
      <c r="B26" s="13">
        <f t="shared" ref="B26:G26" si="23">B24/B25</f>
        <v>1.5</v>
      </c>
      <c r="C26" s="13">
        <f t="shared" si="23"/>
        <v>1.5</v>
      </c>
      <c r="D26" s="13">
        <f t="shared" si="23"/>
        <v>1.5</v>
      </c>
      <c r="E26" s="13">
        <f t="shared" si="23"/>
        <v>1.5</v>
      </c>
      <c r="F26" s="13">
        <f t="shared" si="23"/>
        <v>1.5</v>
      </c>
      <c r="G26" s="13">
        <f t="shared" si="23"/>
        <v>1.5</v>
      </c>
      <c r="H26" s="1">
        <f t="shared" si="20"/>
        <v>1.5</v>
      </c>
      <c r="K26" s="2" t="s">
        <v>19</v>
      </c>
      <c r="L26" s="16">
        <f t="shared" ref="L26:Q26" si="24">(6000/6)+(B32*6000)</f>
        <v>1000</v>
      </c>
      <c r="M26" s="16">
        <f t="shared" si="24"/>
        <v>1000</v>
      </c>
      <c r="N26" s="16">
        <f t="shared" si="24"/>
        <v>1000</v>
      </c>
      <c r="O26" s="16">
        <f t="shared" si="24"/>
        <v>1000</v>
      </c>
      <c r="P26" s="16">
        <f t="shared" si="24"/>
        <v>1000</v>
      </c>
      <c r="Q26" s="16">
        <f t="shared" si="24"/>
        <v>1000</v>
      </c>
    </row>
    <row r="27" spans="1:17" ht="14.25" customHeight="1">
      <c r="A27" s="1" t="s">
        <v>20</v>
      </c>
      <c r="B27" s="13">
        <f>Keuzes!J21</f>
        <v>0</v>
      </c>
      <c r="C27" s="13">
        <f>Keuzes!K21</f>
        <v>0</v>
      </c>
      <c r="D27" s="13">
        <f>Keuzes!L21</f>
        <v>0</v>
      </c>
      <c r="E27" s="13">
        <f>Keuzes!M21</f>
        <v>0</v>
      </c>
      <c r="F27" s="13">
        <f>Keuzes!N21</f>
        <v>0</v>
      </c>
      <c r="G27" s="13">
        <f>Keuzes!O21</f>
        <v>0</v>
      </c>
      <c r="H27" s="1">
        <f>AVERAGE(B27:G27)+0.1</f>
        <v>0.1</v>
      </c>
      <c r="K27" s="2" t="s">
        <v>21</v>
      </c>
      <c r="L27" s="1">
        <f t="shared" ref="L27:Q27" si="25">L22*(0.1*B33)+(B27*50)</f>
        <v>0</v>
      </c>
      <c r="M27" s="1">
        <f t="shared" si="25"/>
        <v>0</v>
      </c>
      <c r="N27" s="1">
        <f t="shared" si="25"/>
        <v>0</v>
      </c>
      <c r="O27" s="1">
        <f t="shared" si="25"/>
        <v>0</v>
      </c>
      <c r="P27" s="1">
        <f t="shared" si="25"/>
        <v>0</v>
      </c>
      <c r="Q27" s="1">
        <f t="shared" si="25"/>
        <v>0</v>
      </c>
    </row>
    <row r="28" spans="1:17" ht="14.25" customHeight="1">
      <c r="K28" s="2" t="s">
        <v>36</v>
      </c>
      <c r="L28" s="6">
        <f t="shared" ref="L28:Q28" si="26">L25+L26</f>
        <v>2609.375</v>
      </c>
      <c r="M28" s="6">
        <f t="shared" si="26"/>
        <v>2609.375</v>
      </c>
      <c r="N28" s="6">
        <f t="shared" si="26"/>
        <v>2609.375</v>
      </c>
      <c r="O28" s="6">
        <f t="shared" si="26"/>
        <v>2609.375</v>
      </c>
      <c r="P28" s="6">
        <f t="shared" si="26"/>
        <v>2609.375</v>
      </c>
      <c r="Q28" s="6">
        <f t="shared" si="26"/>
        <v>2609.375</v>
      </c>
    </row>
    <row r="29" spans="1:17" ht="14.25" customHeigh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L29" s="23"/>
      <c r="M29" s="23"/>
      <c r="N29" s="23"/>
      <c r="O29" s="23"/>
      <c r="P29" s="23"/>
      <c r="Q29" s="23"/>
    </row>
    <row r="30" spans="1:17" ht="14.25" customHeight="1">
      <c r="A30" s="2" t="s">
        <v>37</v>
      </c>
      <c r="B30" s="13">
        <f t="shared" ref="B30:G30" si="27">(B24/$H$24)</f>
        <v>1</v>
      </c>
      <c r="C30" s="13">
        <f t="shared" si="27"/>
        <v>1</v>
      </c>
      <c r="D30" s="13">
        <f t="shared" si="27"/>
        <v>1</v>
      </c>
      <c r="E30" s="13">
        <f t="shared" si="27"/>
        <v>1</v>
      </c>
      <c r="F30" s="13">
        <f t="shared" si="27"/>
        <v>1</v>
      </c>
      <c r="G30" s="13">
        <f t="shared" si="27"/>
        <v>1</v>
      </c>
      <c r="K30" s="2" t="s">
        <v>22</v>
      </c>
      <c r="L30" s="6">
        <f t="shared" ref="L30:Q30" si="28">MAX(0,L28)</f>
        <v>2609.375</v>
      </c>
      <c r="M30" s="6">
        <f t="shared" si="28"/>
        <v>2609.375</v>
      </c>
      <c r="N30" s="6">
        <f t="shared" si="28"/>
        <v>2609.375</v>
      </c>
      <c r="O30" s="6">
        <f t="shared" si="28"/>
        <v>2609.375</v>
      </c>
      <c r="P30" s="6">
        <f t="shared" si="28"/>
        <v>2609.375</v>
      </c>
      <c r="Q30" s="6">
        <f t="shared" si="28"/>
        <v>2609.375</v>
      </c>
    </row>
    <row r="31" spans="1:17" ht="14.25" customHeight="1">
      <c r="A31" s="2" t="s">
        <v>16</v>
      </c>
      <c r="B31" s="13">
        <f t="shared" ref="B31:G31" si="29">$H$25/B25</f>
        <v>1</v>
      </c>
      <c r="C31" s="13">
        <f t="shared" si="29"/>
        <v>1</v>
      </c>
      <c r="D31" s="13">
        <f t="shared" si="29"/>
        <v>1</v>
      </c>
      <c r="E31" s="13">
        <f t="shared" si="29"/>
        <v>1</v>
      </c>
      <c r="F31" s="13">
        <f t="shared" si="29"/>
        <v>1</v>
      </c>
      <c r="G31" s="13">
        <f t="shared" si="29"/>
        <v>1</v>
      </c>
      <c r="K31" s="2" t="s">
        <v>24</v>
      </c>
      <c r="L31" s="6">
        <f t="shared" ref="L31:Q31" si="30">MIN(L34,((L30+L42)))</f>
        <v>1500</v>
      </c>
      <c r="M31" s="6">
        <f t="shared" si="30"/>
        <v>1500</v>
      </c>
      <c r="N31" s="6">
        <f t="shared" si="30"/>
        <v>1500</v>
      </c>
      <c r="O31" s="6">
        <f t="shared" si="30"/>
        <v>1500</v>
      </c>
      <c r="P31" s="6">
        <f t="shared" si="30"/>
        <v>1500</v>
      </c>
      <c r="Q31" s="6">
        <f t="shared" si="30"/>
        <v>1500</v>
      </c>
    </row>
    <row r="32" spans="1:17" ht="14.25" customHeight="1">
      <c r="A32" s="2" t="s">
        <v>26</v>
      </c>
      <c r="B32" s="17">
        <f t="shared" ref="B32:G32" si="31">(B35-B33)*5</f>
        <v>0</v>
      </c>
      <c r="C32" s="17">
        <f t="shared" si="31"/>
        <v>0</v>
      </c>
      <c r="D32" s="17">
        <f t="shared" si="31"/>
        <v>0</v>
      </c>
      <c r="E32" s="17">
        <f t="shared" si="31"/>
        <v>0</v>
      </c>
      <c r="F32" s="17">
        <f t="shared" si="31"/>
        <v>0</v>
      </c>
      <c r="G32" s="17">
        <f t="shared" si="31"/>
        <v>0</v>
      </c>
      <c r="I32" s="18">
        <f>SUM(B32:G32)</f>
        <v>0</v>
      </c>
      <c r="K32" s="2" t="s">
        <v>27</v>
      </c>
      <c r="L32" s="6">
        <f t="shared" ref="L32:Q32" si="32">L30*B24</f>
        <v>15656.25</v>
      </c>
      <c r="M32" s="6">
        <f t="shared" si="32"/>
        <v>15656.25</v>
      </c>
      <c r="N32" s="6">
        <f t="shared" si="32"/>
        <v>15656.25</v>
      </c>
      <c r="O32" s="6">
        <f t="shared" si="32"/>
        <v>15656.25</v>
      </c>
      <c r="P32" s="6">
        <f t="shared" si="32"/>
        <v>15656.25</v>
      </c>
      <c r="Q32" s="6">
        <f t="shared" si="32"/>
        <v>15656.25</v>
      </c>
    </row>
    <row r="33" spans="1:17" ht="14.25" customHeight="1">
      <c r="A33" s="2" t="s">
        <v>28</v>
      </c>
      <c r="B33" s="13">
        <f t="shared" ref="B33:G33" si="33">100/6/100</f>
        <v>0.16666666666666669</v>
      </c>
      <c r="C33" s="13">
        <f t="shared" si="33"/>
        <v>0.16666666666666669</v>
      </c>
      <c r="D33" s="13">
        <f t="shared" si="33"/>
        <v>0.16666666666666669</v>
      </c>
      <c r="E33" s="13">
        <f t="shared" si="33"/>
        <v>0.16666666666666669</v>
      </c>
      <c r="F33" s="13">
        <f t="shared" si="33"/>
        <v>0.16666666666666669</v>
      </c>
      <c r="G33" s="13">
        <f t="shared" si="33"/>
        <v>0.16666666666666669</v>
      </c>
      <c r="I33" s="19">
        <f>SUM(B26:G26)</f>
        <v>9</v>
      </c>
      <c r="K33" s="2" t="s">
        <v>27</v>
      </c>
      <c r="L33" s="1">
        <f t="shared" ref="L33:Q33" si="34">L31*B24</f>
        <v>9000</v>
      </c>
      <c r="M33" s="1">
        <f t="shared" si="34"/>
        <v>9000</v>
      </c>
      <c r="N33" s="1">
        <f t="shared" si="34"/>
        <v>9000</v>
      </c>
      <c r="O33" s="1">
        <f t="shared" si="34"/>
        <v>9000</v>
      </c>
      <c r="P33" s="1">
        <f t="shared" si="34"/>
        <v>9000</v>
      </c>
      <c r="Q33" s="1">
        <f t="shared" si="34"/>
        <v>9000</v>
      </c>
    </row>
    <row r="34" spans="1:17" ht="14.25" customHeight="1">
      <c r="A34" s="2" t="s">
        <v>30</v>
      </c>
      <c r="B34" s="1">
        <f t="shared" ref="B34:G34" si="35">1/B26</f>
        <v>0.66666666666666663</v>
      </c>
      <c r="C34" s="1">
        <f t="shared" si="35"/>
        <v>0.66666666666666663</v>
      </c>
      <c r="D34" s="1">
        <f t="shared" si="35"/>
        <v>0.66666666666666663</v>
      </c>
      <c r="E34" s="1">
        <f t="shared" si="35"/>
        <v>0.66666666666666663</v>
      </c>
      <c r="F34" s="1">
        <f t="shared" si="35"/>
        <v>0.66666666666666663</v>
      </c>
      <c r="G34" s="1">
        <f t="shared" si="35"/>
        <v>0.66666666666666663</v>
      </c>
      <c r="I34" s="1">
        <f t="shared" ref="I34:I36" si="36">SUM(B34:G34)</f>
        <v>3.9999999999999996</v>
      </c>
      <c r="K34" s="2" t="s">
        <v>29</v>
      </c>
      <c r="L34" s="20">
        <f>Capaciteit!K27</f>
        <v>1500</v>
      </c>
      <c r="M34" s="20">
        <f>Capaciteit!L27</f>
        <v>1500</v>
      </c>
      <c r="N34" s="20">
        <f>Capaciteit!M27</f>
        <v>1500</v>
      </c>
      <c r="O34" s="20">
        <f>Capaciteit!N27</f>
        <v>1500</v>
      </c>
      <c r="P34" s="20">
        <f>Capaciteit!O27</f>
        <v>1500</v>
      </c>
      <c r="Q34" s="20">
        <f>Capaciteit!P27</f>
        <v>1500</v>
      </c>
    </row>
    <row r="35" spans="1:17" ht="14.25" customHeight="1">
      <c r="A35" s="2" t="s">
        <v>31</v>
      </c>
      <c r="B35" s="10">
        <f t="shared" ref="B35:G35" si="37">B34/$I34</f>
        <v>0.16666666666666669</v>
      </c>
      <c r="C35" s="10">
        <f t="shared" si="37"/>
        <v>0.16666666666666669</v>
      </c>
      <c r="D35" s="10">
        <f t="shared" si="37"/>
        <v>0.16666666666666669</v>
      </c>
      <c r="E35" s="10">
        <f t="shared" si="37"/>
        <v>0.16666666666666669</v>
      </c>
      <c r="F35" s="10">
        <f t="shared" si="37"/>
        <v>0.16666666666666669</v>
      </c>
      <c r="G35" s="10">
        <f t="shared" si="37"/>
        <v>0.16666666666666669</v>
      </c>
      <c r="I35" s="1">
        <f t="shared" si="36"/>
        <v>1.0000000000000002</v>
      </c>
    </row>
    <row r="36" spans="1:17" ht="14.25" customHeight="1">
      <c r="A36" s="2" t="s">
        <v>32</v>
      </c>
      <c r="B36" s="1">
        <f t="shared" ref="B36:G36" si="38">B35-B33</f>
        <v>0</v>
      </c>
      <c r="C36" s="1">
        <f t="shared" si="38"/>
        <v>0</v>
      </c>
      <c r="D36" s="1">
        <f t="shared" si="38"/>
        <v>0</v>
      </c>
      <c r="E36" s="1">
        <f t="shared" si="38"/>
        <v>0</v>
      </c>
      <c r="F36" s="1">
        <f t="shared" si="38"/>
        <v>0</v>
      </c>
      <c r="G36" s="1">
        <f t="shared" si="38"/>
        <v>0</v>
      </c>
      <c r="I36" s="1">
        <f t="shared" si="36"/>
        <v>0</v>
      </c>
      <c r="L36" s="6"/>
      <c r="M36" s="6"/>
      <c r="N36" s="6"/>
      <c r="O36" s="6"/>
      <c r="P36" s="6"/>
      <c r="Q36" s="6"/>
    </row>
    <row r="37" spans="1:17" ht="14.25" customHeight="1"/>
    <row r="38" spans="1:17" ht="14.25" customHeight="1">
      <c r="N38" s="6"/>
      <c r="O38" s="6"/>
      <c r="P38" s="6"/>
      <c r="Q38" s="6"/>
    </row>
    <row r="39" spans="1:17" ht="14.25" customHeight="1"/>
    <row r="40" spans="1:17" ht="14.25" customHeight="1"/>
    <row r="41" spans="1:17" ht="14.25" customHeight="1"/>
    <row r="42" spans="1:17" ht="14.25" customHeight="1">
      <c r="K42" s="2" t="s">
        <v>38</v>
      </c>
      <c r="L42" s="6">
        <f t="shared" ref="L42:Q42" si="39">L40*$R36</f>
        <v>0</v>
      </c>
      <c r="M42" s="6">
        <f t="shared" si="39"/>
        <v>0</v>
      </c>
      <c r="N42" s="6">
        <f t="shared" si="39"/>
        <v>0</v>
      </c>
      <c r="O42" s="6">
        <f t="shared" si="39"/>
        <v>0</v>
      </c>
      <c r="P42" s="6">
        <f t="shared" si="39"/>
        <v>0</v>
      </c>
      <c r="Q42" s="6">
        <f t="shared" si="39"/>
        <v>0</v>
      </c>
    </row>
    <row r="43" spans="1:17" ht="14.25" customHeight="1">
      <c r="K43" s="1" t="s">
        <v>33</v>
      </c>
      <c r="L43" s="3">
        <f t="shared" ref="L43:Q43" si="40">L31</f>
        <v>1500</v>
      </c>
      <c r="M43" s="3">
        <f t="shared" si="40"/>
        <v>1500</v>
      </c>
      <c r="N43" s="3">
        <f t="shared" si="40"/>
        <v>1500</v>
      </c>
      <c r="O43" s="3">
        <f t="shared" si="40"/>
        <v>1500</v>
      </c>
      <c r="P43" s="3">
        <f t="shared" si="40"/>
        <v>1500</v>
      </c>
      <c r="Q43" s="3">
        <f t="shared" si="40"/>
        <v>1500</v>
      </c>
    </row>
    <row r="44" spans="1:17" ht="14.25" customHeight="1">
      <c r="K44" s="1" t="s">
        <v>34</v>
      </c>
      <c r="L44" s="3">
        <f t="shared" ref="L44:Q44" si="41">L33</f>
        <v>9000</v>
      </c>
      <c r="M44" s="3">
        <f t="shared" si="41"/>
        <v>9000</v>
      </c>
      <c r="N44" s="3">
        <f t="shared" si="41"/>
        <v>9000</v>
      </c>
      <c r="O44" s="3">
        <f t="shared" si="41"/>
        <v>9000</v>
      </c>
      <c r="P44" s="3">
        <f t="shared" si="41"/>
        <v>9000</v>
      </c>
      <c r="Q44" s="3">
        <f t="shared" si="41"/>
        <v>9000</v>
      </c>
    </row>
    <row r="45" spans="1:17" ht="14.25" customHeight="1">
      <c r="K45" s="1" t="s">
        <v>35</v>
      </c>
    </row>
    <row r="46" spans="1:17" ht="14.25" customHeight="1"/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625" defaultRowHeight="15" customHeight="1"/>
  <cols>
    <col min="1" max="1" width="11.625" customWidth="1"/>
    <col min="2" max="8" width="7.625" customWidth="1"/>
    <col min="9" max="9" width="9.375" customWidth="1"/>
    <col min="10" max="10" width="7.625" customWidth="1"/>
    <col min="11" max="11" width="8.75" customWidth="1"/>
    <col min="12" max="13" width="7.625" customWidth="1"/>
    <col min="14" max="14" width="8.75" customWidth="1"/>
    <col min="15" max="15" width="7.625" customWidth="1"/>
    <col min="16" max="16" width="9.625" customWidth="1"/>
    <col min="17" max="17" width="7.625" customWidth="1"/>
    <col min="18" max="18" width="10.25" customWidth="1"/>
    <col min="19" max="26" width="7.625" customWidth="1"/>
  </cols>
  <sheetData>
    <row r="1" spans="1:26" ht="14.25" customHeight="1"/>
    <row r="2" spans="1:26" ht="14.25" customHeight="1">
      <c r="A2" s="1" t="s">
        <v>0</v>
      </c>
      <c r="B2" s="2">
        <v>20000</v>
      </c>
      <c r="C2" s="2">
        <v>750</v>
      </c>
      <c r="D2" s="1">
        <f>B12</f>
        <v>6</v>
      </c>
      <c r="F2" s="2">
        <v>15000</v>
      </c>
      <c r="G2" s="3"/>
      <c r="H2" s="4">
        <v>1000</v>
      </c>
    </row>
    <row r="3" spans="1:26" ht="14.25" customHeight="1"/>
    <row r="4" spans="1:26" ht="14.25" customHeight="1"/>
    <row r="5" spans="1:26" ht="14.25" customHeight="1">
      <c r="B5" s="1" t="s">
        <v>1</v>
      </c>
      <c r="C5" s="1" t="s">
        <v>2</v>
      </c>
      <c r="D5" s="1" t="s">
        <v>3</v>
      </c>
      <c r="E5" s="1" t="s">
        <v>4</v>
      </c>
      <c r="G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S5" s="2" t="s">
        <v>11</v>
      </c>
    </row>
    <row r="6" spans="1:26" ht="14.25" customHeight="1">
      <c r="A6" s="1">
        <v>1</v>
      </c>
      <c r="B6" s="2">
        <f>Keuzes!B4</f>
        <v>6</v>
      </c>
      <c r="C6" s="1">
        <f>2*Keuzes!B5</f>
        <v>4</v>
      </c>
      <c r="D6" s="1">
        <f t="shared" ref="D6:D11" si="0">((B6/C6))</f>
        <v>1.5</v>
      </c>
      <c r="E6" s="1">
        <f>Keuzes!B7</f>
        <v>0</v>
      </c>
      <c r="G6" s="1">
        <v>1</v>
      </c>
      <c r="H6" s="3">
        <f t="shared" ref="H6:H11" si="1">$H$2</f>
        <v>1000</v>
      </c>
      <c r="I6" s="3">
        <f t="shared" ref="I6:I11" si="2">((H6/B14)-H6)+((8-B6)*500)</f>
        <v>1000</v>
      </c>
      <c r="J6" s="3">
        <f t="shared" ref="J6:J11" si="3">(MAX(0,((H6/C14)-H6))+((C6-5)*200))</f>
        <v>-200</v>
      </c>
      <c r="K6" s="3">
        <f t="shared" ref="K6:K11" si="4">H6+I6+J6</f>
        <v>1800</v>
      </c>
      <c r="L6" s="3">
        <f t="shared" ref="L6:L11" si="5">H6*(0.1*E14)+(E6*50)</f>
        <v>-10.000000000000002</v>
      </c>
      <c r="M6" s="5">
        <f t="shared" ref="M6:M11" si="6">MAX(0,((K6+L6)*D14))</f>
        <v>1790</v>
      </c>
      <c r="N6" s="3">
        <f t="shared" ref="N6:N11" si="7">MIN(Q6,(M6+V6))</f>
        <v>1500</v>
      </c>
      <c r="O6" s="5">
        <f t="shared" ref="O6:O11" si="8">M6*B6</f>
        <v>10740</v>
      </c>
      <c r="P6" s="5">
        <f t="shared" ref="P6:P11" si="9">N6*B6</f>
        <v>9000</v>
      </c>
      <c r="Q6" s="1">
        <f>Capaciteit!C13</f>
        <v>1500</v>
      </c>
      <c r="R6" s="3"/>
      <c r="S6" s="6">
        <f t="shared" ref="S6:S11" si="10">MAX(0,M6-Q6)</f>
        <v>290</v>
      </c>
      <c r="T6" s="1">
        <f t="shared" ref="T6:T11" si="11">IF(M6&gt;Q6,0,1)</f>
        <v>0</v>
      </c>
      <c r="U6" s="7">
        <f t="shared" ref="U6:U11" si="12">IF($T$12&gt;0,$S$12/$T$12*T6,0)</f>
        <v>0</v>
      </c>
      <c r="V6" s="1">
        <f t="shared" ref="V6:V11" si="13">U6*D14^2</f>
        <v>0</v>
      </c>
      <c r="W6" s="8"/>
      <c r="X6" s="8"/>
      <c r="Y6" s="8"/>
      <c r="Z6" s="8"/>
    </row>
    <row r="7" spans="1:26" ht="14.25" customHeight="1">
      <c r="A7" s="1">
        <v>2</v>
      </c>
      <c r="B7" s="2">
        <f>Keuzes!C4</f>
        <v>6</v>
      </c>
      <c r="C7" s="1">
        <f>2*Keuzes!C5</f>
        <v>4</v>
      </c>
      <c r="D7" s="1">
        <f t="shared" si="0"/>
        <v>1.5</v>
      </c>
      <c r="E7" s="1">
        <f>Keuzes!C7</f>
        <v>0</v>
      </c>
      <c r="G7" s="1">
        <v>2</v>
      </c>
      <c r="H7" s="3">
        <f t="shared" si="1"/>
        <v>1000</v>
      </c>
      <c r="I7" s="3">
        <f t="shared" si="2"/>
        <v>1000</v>
      </c>
      <c r="J7" s="3">
        <f t="shared" si="3"/>
        <v>-200</v>
      </c>
      <c r="K7" s="3">
        <f t="shared" si="4"/>
        <v>1800</v>
      </c>
      <c r="L7" s="3">
        <f t="shared" si="5"/>
        <v>-10.000000000000002</v>
      </c>
      <c r="M7" s="5">
        <f t="shared" si="6"/>
        <v>1790</v>
      </c>
      <c r="N7" s="3">
        <f t="shared" si="7"/>
        <v>1500</v>
      </c>
      <c r="O7" s="5">
        <f t="shared" si="8"/>
        <v>10740</v>
      </c>
      <c r="P7" s="5">
        <f t="shared" si="9"/>
        <v>9000</v>
      </c>
      <c r="Q7" s="1">
        <f>Capaciteit!D13</f>
        <v>1500</v>
      </c>
      <c r="R7" s="3"/>
      <c r="S7" s="6">
        <f t="shared" si="10"/>
        <v>290</v>
      </c>
      <c r="T7" s="1">
        <f t="shared" si="11"/>
        <v>0</v>
      </c>
      <c r="U7" s="7">
        <f t="shared" si="12"/>
        <v>0</v>
      </c>
      <c r="V7" s="6">
        <f t="shared" si="13"/>
        <v>0</v>
      </c>
    </row>
    <row r="8" spans="1:26" ht="14.25" customHeight="1">
      <c r="A8" s="1">
        <v>3</v>
      </c>
      <c r="B8" s="2">
        <f>Keuzes!D4</f>
        <v>6</v>
      </c>
      <c r="C8" s="1">
        <f>2*Keuzes!D5</f>
        <v>4</v>
      </c>
      <c r="D8" s="1">
        <f t="shared" si="0"/>
        <v>1.5</v>
      </c>
      <c r="E8" s="1">
        <f>Keuzes!D7</f>
        <v>0</v>
      </c>
      <c r="G8" s="1">
        <v>3</v>
      </c>
      <c r="H8" s="3">
        <f t="shared" si="1"/>
        <v>1000</v>
      </c>
      <c r="I8" s="3">
        <f t="shared" si="2"/>
        <v>1000</v>
      </c>
      <c r="J8" s="3">
        <f t="shared" si="3"/>
        <v>-200</v>
      </c>
      <c r="K8" s="3">
        <f t="shared" si="4"/>
        <v>1800</v>
      </c>
      <c r="L8" s="3">
        <f t="shared" si="5"/>
        <v>-10.000000000000002</v>
      </c>
      <c r="M8" s="5">
        <f t="shared" si="6"/>
        <v>1790</v>
      </c>
      <c r="N8" s="3">
        <f t="shared" si="7"/>
        <v>1500</v>
      </c>
      <c r="O8" s="5">
        <f t="shared" si="8"/>
        <v>10740</v>
      </c>
      <c r="P8" s="5">
        <f t="shared" si="9"/>
        <v>9000</v>
      </c>
      <c r="Q8" s="1">
        <f>Capaciteit!E13</f>
        <v>1500</v>
      </c>
      <c r="R8" s="3"/>
      <c r="S8" s="6">
        <f t="shared" si="10"/>
        <v>290</v>
      </c>
      <c r="T8" s="1">
        <f t="shared" si="11"/>
        <v>0</v>
      </c>
      <c r="U8" s="7">
        <f t="shared" si="12"/>
        <v>0</v>
      </c>
      <c r="V8" s="6">
        <f t="shared" si="13"/>
        <v>0</v>
      </c>
      <c r="W8" s="6"/>
      <c r="X8" s="6"/>
      <c r="Y8" s="6"/>
      <c r="Z8" s="6"/>
    </row>
    <row r="9" spans="1:26" ht="14.25" customHeight="1">
      <c r="A9" s="1">
        <v>4</v>
      </c>
      <c r="B9" s="2">
        <f>Keuzes!E4</f>
        <v>6</v>
      </c>
      <c r="C9" s="1">
        <f>2*Keuzes!E5</f>
        <v>4</v>
      </c>
      <c r="D9" s="1">
        <f t="shared" si="0"/>
        <v>1.5</v>
      </c>
      <c r="E9" s="1">
        <f>Keuzes!E7</f>
        <v>0</v>
      </c>
      <c r="G9" s="1">
        <v>4</v>
      </c>
      <c r="H9" s="3">
        <f t="shared" si="1"/>
        <v>1000</v>
      </c>
      <c r="I9" s="3">
        <f t="shared" si="2"/>
        <v>1000</v>
      </c>
      <c r="J9" s="3">
        <f t="shared" si="3"/>
        <v>-200</v>
      </c>
      <c r="K9" s="3">
        <f t="shared" si="4"/>
        <v>1800</v>
      </c>
      <c r="L9" s="3">
        <f t="shared" si="5"/>
        <v>-10.000000000000002</v>
      </c>
      <c r="M9" s="5">
        <f t="shared" si="6"/>
        <v>1790</v>
      </c>
      <c r="N9" s="3">
        <f t="shared" si="7"/>
        <v>1500</v>
      </c>
      <c r="O9" s="5">
        <f t="shared" si="8"/>
        <v>10740</v>
      </c>
      <c r="P9" s="5">
        <f t="shared" si="9"/>
        <v>9000</v>
      </c>
      <c r="Q9" s="1">
        <f>Capaciteit!F13</f>
        <v>1500</v>
      </c>
      <c r="R9" s="3"/>
      <c r="S9" s="6">
        <f t="shared" si="10"/>
        <v>290</v>
      </c>
      <c r="T9" s="1">
        <f t="shared" si="11"/>
        <v>0</v>
      </c>
      <c r="U9" s="7">
        <f t="shared" si="12"/>
        <v>0</v>
      </c>
      <c r="V9" s="6">
        <f t="shared" si="13"/>
        <v>0</v>
      </c>
    </row>
    <row r="10" spans="1:26" ht="14.25" customHeight="1">
      <c r="A10" s="1">
        <v>5</v>
      </c>
      <c r="B10" s="2">
        <f>Keuzes!F4</f>
        <v>6</v>
      </c>
      <c r="C10" s="1">
        <f>2*Keuzes!F5</f>
        <v>4</v>
      </c>
      <c r="D10" s="1">
        <f t="shared" si="0"/>
        <v>1.5</v>
      </c>
      <c r="E10" s="1">
        <f>Keuzes!F7</f>
        <v>0</v>
      </c>
      <c r="G10" s="1">
        <v>5</v>
      </c>
      <c r="H10" s="3">
        <f t="shared" si="1"/>
        <v>1000</v>
      </c>
      <c r="I10" s="3">
        <f t="shared" si="2"/>
        <v>1000</v>
      </c>
      <c r="J10" s="3">
        <f t="shared" si="3"/>
        <v>-200</v>
      </c>
      <c r="K10" s="3">
        <f t="shared" si="4"/>
        <v>1800</v>
      </c>
      <c r="L10" s="3">
        <f t="shared" si="5"/>
        <v>-10.000000000000002</v>
      </c>
      <c r="M10" s="5">
        <f t="shared" si="6"/>
        <v>1790</v>
      </c>
      <c r="N10" s="3">
        <f t="shared" si="7"/>
        <v>1500</v>
      </c>
      <c r="O10" s="5">
        <f t="shared" si="8"/>
        <v>10740</v>
      </c>
      <c r="P10" s="5">
        <f t="shared" si="9"/>
        <v>9000</v>
      </c>
      <c r="Q10" s="1">
        <f>Capaciteit!G13</f>
        <v>1500</v>
      </c>
      <c r="R10" s="3"/>
      <c r="S10" s="6">
        <f t="shared" si="10"/>
        <v>290</v>
      </c>
      <c r="T10" s="1">
        <f t="shared" si="11"/>
        <v>0</v>
      </c>
      <c r="U10" s="7">
        <f t="shared" si="12"/>
        <v>0</v>
      </c>
      <c r="V10" s="6">
        <f t="shared" si="13"/>
        <v>0</v>
      </c>
    </row>
    <row r="11" spans="1:26" ht="14.25" customHeight="1">
      <c r="A11" s="1">
        <v>6</v>
      </c>
      <c r="B11" s="2">
        <f>Keuzes!G4</f>
        <v>6</v>
      </c>
      <c r="C11" s="1">
        <f>2*Keuzes!G5</f>
        <v>4</v>
      </c>
      <c r="D11" s="1">
        <f t="shared" si="0"/>
        <v>1.5</v>
      </c>
      <c r="E11" s="1">
        <f>Keuzes!G7</f>
        <v>0</v>
      </c>
      <c r="G11" s="1">
        <v>6</v>
      </c>
      <c r="H11" s="3">
        <f t="shared" si="1"/>
        <v>1000</v>
      </c>
      <c r="I11" s="3">
        <f t="shared" si="2"/>
        <v>1000</v>
      </c>
      <c r="J11" s="3">
        <f t="shared" si="3"/>
        <v>-200</v>
      </c>
      <c r="K11" s="3">
        <f t="shared" si="4"/>
        <v>1800</v>
      </c>
      <c r="L11" s="3">
        <f t="shared" si="5"/>
        <v>-10.000000000000002</v>
      </c>
      <c r="M11" s="5">
        <f t="shared" si="6"/>
        <v>1790</v>
      </c>
      <c r="N11" s="3">
        <f t="shared" si="7"/>
        <v>1500</v>
      </c>
      <c r="O11" s="5">
        <f t="shared" si="8"/>
        <v>10740</v>
      </c>
      <c r="P11" s="5">
        <f t="shared" si="9"/>
        <v>9000</v>
      </c>
      <c r="Q11" s="1">
        <f>Capaciteit!H13</f>
        <v>1500</v>
      </c>
      <c r="R11" s="3"/>
      <c r="S11" s="6">
        <f t="shared" si="10"/>
        <v>290</v>
      </c>
      <c r="T11" s="1">
        <f t="shared" si="11"/>
        <v>0</v>
      </c>
      <c r="U11" s="7">
        <f t="shared" si="12"/>
        <v>0</v>
      </c>
      <c r="V11" s="6">
        <f t="shared" si="13"/>
        <v>0</v>
      </c>
    </row>
    <row r="12" spans="1:26" ht="14.25" customHeight="1">
      <c r="A12" s="1" t="s">
        <v>12</v>
      </c>
      <c r="B12" s="1">
        <f t="shared" ref="B12:D12" si="14">AVERAGE(B6:B11)</f>
        <v>6</v>
      </c>
      <c r="C12" s="1">
        <f t="shared" si="14"/>
        <v>4</v>
      </c>
      <c r="D12" s="1">
        <f t="shared" si="14"/>
        <v>1.5</v>
      </c>
      <c r="E12" s="1">
        <f>AVERAGE(E6:E11)+0.1</f>
        <v>0.1</v>
      </c>
      <c r="J12" s="3"/>
      <c r="N12" s="3"/>
      <c r="R12" s="3"/>
      <c r="S12" s="6">
        <f>SUM(S6:S11)</f>
        <v>1740</v>
      </c>
      <c r="T12" s="1">
        <f>SUM(T6:T11)</f>
        <v>0</v>
      </c>
    </row>
    <row r="13" spans="1:26" ht="14.25" customHeight="1"/>
    <row r="14" spans="1:26" ht="14.25" customHeight="1">
      <c r="A14" s="1">
        <v>1</v>
      </c>
      <c r="B14" s="1">
        <f>(B6/$B$12)^2</f>
        <v>1</v>
      </c>
      <c r="C14" s="1">
        <f t="shared" ref="C14:C19" si="15">(C$12/C6)</f>
        <v>1</v>
      </c>
      <c r="D14" s="1">
        <f t="shared" ref="D14:D19" si="16">((D$12/D6))</f>
        <v>1</v>
      </c>
      <c r="E14" s="1">
        <f t="shared" ref="E14:E19" si="17">IF($E$12=0,0,(E6/$E$12*E6)-$E$12)</f>
        <v>-0.1</v>
      </c>
      <c r="S14" s="3"/>
    </row>
    <row r="15" spans="1:26" ht="14.25" customHeight="1">
      <c r="A15" s="1">
        <v>2</v>
      </c>
      <c r="B15" s="1">
        <f t="shared" ref="B15:B19" si="18">(B7/$B$12)</f>
        <v>1</v>
      </c>
      <c r="C15" s="1">
        <f t="shared" si="15"/>
        <v>1</v>
      </c>
      <c r="D15" s="1">
        <f t="shared" si="16"/>
        <v>1</v>
      </c>
      <c r="E15" s="1">
        <f t="shared" si="17"/>
        <v>-0.1</v>
      </c>
    </row>
    <row r="16" spans="1:26" ht="14.25" customHeight="1">
      <c r="A16" s="1">
        <v>3</v>
      </c>
      <c r="B16" s="1">
        <f t="shared" si="18"/>
        <v>1</v>
      </c>
      <c r="C16" s="1">
        <f t="shared" si="15"/>
        <v>1</v>
      </c>
      <c r="D16" s="1">
        <f t="shared" si="16"/>
        <v>1</v>
      </c>
      <c r="E16" s="1">
        <f t="shared" si="17"/>
        <v>-0.1</v>
      </c>
    </row>
    <row r="17" spans="1:17" ht="14.25" customHeight="1">
      <c r="A17" s="1">
        <v>4</v>
      </c>
      <c r="B17" s="1">
        <f t="shared" si="18"/>
        <v>1</v>
      </c>
      <c r="C17" s="1">
        <f t="shared" si="15"/>
        <v>1</v>
      </c>
      <c r="D17" s="1">
        <f t="shared" si="16"/>
        <v>1</v>
      </c>
      <c r="E17" s="1">
        <f t="shared" si="17"/>
        <v>-0.1</v>
      </c>
    </row>
    <row r="18" spans="1:17" ht="14.25" customHeight="1">
      <c r="A18" s="1">
        <v>5</v>
      </c>
      <c r="B18" s="1">
        <f t="shared" si="18"/>
        <v>1</v>
      </c>
      <c r="C18" s="1">
        <f t="shared" si="15"/>
        <v>1</v>
      </c>
      <c r="D18" s="1">
        <f t="shared" si="16"/>
        <v>1</v>
      </c>
      <c r="E18" s="1">
        <f t="shared" si="17"/>
        <v>-0.1</v>
      </c>
    </row>
    <row r="19" spans="1:17" ht="14.25" customHeight="1">
      <c r="A19" s="1">
        <v>6</v>
      </c>
      <c r="B19" s="1">
        <f t="shared" si="18"/>
        <v>1</v>
      </c>
      <c r="C19" s="1">
        <f t="shared" si="15"/>
        <v>1</v>
      </c>
      <c r="D19" s="1">
        <f t="shared" si="16"/>
        <v>1</v>
      </c>
      <c r="E19" s="1">
        <f t="shared" si="17"/>
        <v>-0.1</v>
      </c>
      <c r="K19" s="9"/>
    </row>
    <row r="20" spans="1:17" ht="14.25" customHeight="1"/>
    <row r="21" spans="1:17" ht="14.25" customHeight="1">
      <c r="L21" s="2">
        <v>1</v>
      </c>
      <c r="M21" s="2">
        <v>2</v>
      </c>
      <c r="N21" s="2">
        <v>3</v>
      </c>
      <c r="O21" s="2">
        <v>4</v>
      </c>
      <c r="P21" s="2">
        <v>5</v>
      </c>
      <c r="Q21" s="2">
        <v>6</v>
      </c>
    </row>
    <row r="22" spans="1:17" ht="14.25" customHeight="1"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K22" s="2" t="s">
        <v>13</v>
      </c>
      <c r="L22" s="8"/>
      <c r="M22" s="8"/>
      <c r="N22" s="8"/>
      <c r="O22" s="8"/>
      <c r="P22" s="8"/>
      <c r="Q22" s="8"/>
    </row>
    <row r="23" spans="1:17" ht="14.25" customHeight="1">
      <c r="B23" s="10"/>
      <c r="C23" s="10"/>
      <c r="D23" s="10"/>
      <c r="E23" s="10"/>
      <c r="F23" s="10"/>
      <c r="G23" s="10"/>
      <c r="K23" s="2" t="s">
        <v>14</v>
      </c>
      <c r="L23" s="12">
        <f t="shared" ref="L23:Q23" si="19">MAX(-4500,((6.5-B24)^3*75))</f>
        <v>9.375</v>
      </c>
      <c r="M23" s="12">
        <f t="shared" si="19"/>
        <v>9.375</v>
      </c>
      <c r="N23" s="12">
        <f t="shared" si="19"/>
        <v>9.375</v>
      </c>
      <c r="O23" s="12">
        <f t="shared" si="19"/>
        <v>9.375</v>
      </c>
      <c r="P23" s="12">
        <f t="shared" si="19"/>
        <v>9.375</v>
      </c>
      <c r="Q23" s="12">
        <f t="shared" si="19"/>
        <v>9.375</v>
      </c>
    </row>
    <row r="24" spans="1:17" ht="14.25" customHeight="1">
      <c r="A24" s="2" t="s">
        <v>15</v>
      </c>
      <c r="B24" s="13">
        <f>Keuzes!R18</f>
        <v>6</v>
      </c>
      <c r="C24" s="13">
        <f>Keuzes!S18</f>
        <v>6</v>
      </c>
      <c r="D24" s="13">
        <f>Keuzes!T18</f>
        <v>6</v>
      </c>
      <c r="E24" s="13">
        <f>Keuzes!U18</f>
        <v>6</v>
      </c>
      <c r="F24" s="13">
        <f>Keuzes!V18</f>
        <v>6</v>
      </c>
      <c r="G24" s="13">
        <f>Keuzes!W18</f>
        <v>6</v>
      </c>
      <c r="H24" s="1">
        <f t="shared" ref="H24:H26" si="20">AVERAGE(B24:G24)</f>
        <v>6</v>
      </c>
      <c r="K24" s="14" t="s">
        <v>16</v>
      </c>
      <c r="L24" s="6">
        <f t="shared" ref="L24:Q24" si="21">400*B25</f>
        <v>1600</v>
      </c>
      <c r="M24" s="6">
        <f t="shared" si="21"/>
        <v>1600</v>
      </c>
      <c r="N24" s="6">
        <f t="shared" si="21"/>
        <v>1600</v>
      </c>
      <c r="O24" s="6">
        <f t="shared" si="21"/>
        <v>1600</v>
      </c>
      <c r="P24" s="6">
        <f t="shared" si="21"/>
        <v>1600</v>
      </c>
      <c r="Q24" s="6">
        <f t="shared" si="21"/>
        <v>1600</v>
      </c>
    </row>
    <row r="25" spans="1:17" ht="14.25" customHeight="1">
      <c r="A25" s="1" t="s">
        <v>17</v>
      </c>
      <c r="B25" s="13">
        <f>Keuzes!R19*2</f>
        <v>4</v>
      </c>
      <c r="C25" s="13">
        <f>Keuzes!S19*2</f>
        <v>4</v>
      </c>
      <c r="D25" s="13">
        <f>Keuzes!T19*2</f>
        <v>4</v>
      </c>
      <c r="E25" s="13">
        <f>Keuzes!U19*2</f>
        <v>4</v>
      </c>
      <c r="F25" s="13">
        <f>Keuzes!V19*2</f>
        <v>4</v>
      </c>
      <c r="G25" s="13">
        <f>Keuzes!W19*2</f>
        <v>4</v>
      </c>
      <c r="H25" s="1">
        <f t="shared" si="20"/>
        <v>4</v>
      </c>
      <c r="I25" s="1">
        <f>MAX(B25:G25)</f>
        <v>4</v>
      </c>
      <c r="K25" s="2" t="s">
        <v>18</v>
      </c>
      <c r="L25" s="1">
        <f t="shared" ref="L25:Q25" si="22">SUM(L22:L24)</f>
        <v>1609.375</v>
      </c>
      <c r="M25" s="1">
        <f t="shared" si="22"/>
        <v>1609.375</v>
      </c>
      <c r="N25" s="1">
        <f t="shared" si="22"/>
        <v>1609.375</v>
      </c>
      <c r="O25" s="1">
        <f t="shared" si="22"/>
        <v>1609.375</v>
      </c>
      <c r="P25" s="1">
        <f t="shared" si="22"/>
        <v>1609.375</v>
      </c>
      <c r="Q25" s="1">
        <f t="shared" si="22"/>
        <v>1609.375</v>
      </c>
    </row>
    <row r="26" spans="1:17" ht="14.25" customHeight="1">
      <c r="A26" s="2" t="s">
        <v>3</v>
      </c>
      <c r="B26" s="13">
        <f t="shared" ref="B26:G26" si="23">B24/B25</f>
        <v>1.5</v>
      </c>
      <c r="C26" s="13">
        <f t="shared" si="23"/>
        <v>1.5</v>
      </c>
      <c r="D26" s="13">
        <f t="shared" si="23"/>
        <v>1.5</v>
      </c>
      <c r="E26" s="13">
        <f t="shared" si="23"/>
        <v>1.5</v>
      </c>
      <c r="F26" s="13">
        <f t="shared" si="23"/>
        <v>1.5</v>
      </c>
      <c r="G26" s="13">
        <f t="shared" si="23"/>
        <v>1.5</v>
      </c>
      <c r="H26" s="1">
        <f t="shared" si="20"/>
        <v>1.5</v>
      </c>
      <c r="K26" s="2" t="s">
        <v>19</v>
      </c>
      <c r="L26" s="16">
        <f t="shared" ref="L26:Q26" si="24">(6000/6)+(B32*6000)</f>
        <v>1000</v>
      </c>
      <c r="M26" s="16">
        <f t="shared" si="24"/>
        <v>1000</v>
      </c>
      <c r="N26" s="16">
        <f t="shared" si="24"/>
        <v>1000</v>
      </c>
      <c r="O26" s="16">
        <f t="shared" si="24"/>
        <v>1000</v>
      </c>
      <c r="P26" s="16">
        <f t="shared" si="24"/>
        <v>1000</v>
      </c>
      <c r="Q26" s="16">
        <f t="shared" si="24"/>
        <v>1000</v>
      </c>
    </row>
    <row r="27" spans="1:17" ht="14.25" customHeight="1">
      <c r="A27" s="1" t="s">
        <v>20</v>
      </c>
      <c r="B27" s="13">
        <f>Keuzes!R21</f>
        <v>0</v>
      </c>
      <c r="C27" s="13">
        <f>Keuzes!S21</f>
        <v>0</v>
      </c>
      <c r="D27" s="13">
        <f>Keuzes!T21</f>
        <v>0</v>
      </c>
      <c r="E27" s="13">
        <f>Keuzes!U21</f>
        <v>0</v>
      </c>
      <c r="F27" s="13">
        <f>Keuzes!V21</f>
        <v>0</v>
      </c>
      <c r="G27" s="13">
        <f>Keuzes!W21</f>
        <v>0</v>
      </c>
      <c r="H27" s="1">
        <f>AVERAGE(B27:G27)+0.1</f>
        <v>0.1</v>
      </c>
      <c r="K27" s="2" t="s">
        <v>21</v>
      </c>
      <c r="L27" s="1">
        <f t="shared" ref="L27:Q27" si="25">L22*(0.1*B33)+(B27*50)</f>
        <v>0</v>
      </c>
      <c r="M27" s="1">
        <f t="shared" si="25"/>
        <v>0</v>
      </c>
      <c r="N27" s="1">
        <f t="shared" si="25"/>
        <v>0</v>
      </c>
      <c r="O27" s="1">
        <f t="shared" si="25"/>
        <v>0</v>
      </c>
      <c r="P27" s="1">
        <f t="shared" si="25"/>
        <v>0</v>
      </c>
      <c r="Q27" s="1">
        <f t="shared" si="25"/>
        <v>0</v>
      </c>
    </row>
    <row r="28" spans="1:17" ht="14.25" customHeight="1">
      <c r="K28" s="2" t="s">
        <v>36</v>
      </c>
      <c r="L28" s="6">
        <f t="shared" ref="L28:Q28" si="26">L25+L26</f>
        <v>2609.375</v>
      </c>
      <c r="M28" s="6">
        <f t="shared" si="26"/>
        <v>2609.375</v>
      </c>
      <c r="N28" s="6">
        <f t="shared" si="26"/>
        <v>2609.375</v>
      </c>
      <c r="O28" s="6">
        <f t="shared" si="26"/>
        <v>2609.375</v>
      </c>
      <c r="P28" s="6">
        <f t="shared" si="26"/>
        <v>2609.375</v>
      </c>
      <c r="Q28" s="6">
        <f t="shared" si="26"/>
        <v>2609.375</v>
      </c>
    </row>
    <row r="29" spans="1:17" ht="14.25" customHeigh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L29" s="23"/>
      <c r="M29" s="23"/>
      <c r="N29" s="23"/>
      <c r="O29" s="23"/>
      <c r="P29" s="23"/>
      <c r="Q29" s="23"/>
    </row>
    <row r="30" spans="1:17" ht="14.25" customHeight="1">
      <c r="A30" s="2" t="s">
        <v>37</v>
      </c>
      <c r="B30" s="13">
        <f t="shared" ref="B30:G30" si="27">(B24/$H$24)</f>
        <v>1</v>
      </c>
      <c r="C30" s="13">
        <f t="shared" si="27"/>
        <v>1</v>
      </c>
      <c r="D30" s="13">
        <f t="shared" si="27"/>
        <v>1</v>
      </c>
      <c r="E30" s="13">
        <f t="shared" si="27"/>
        <v>1</v>
      </c>
      <c r="F30" s="13">
        <f t="shared" si="27"/>
        <v>1</v>
      </c>
      <c r="G30" s="13">
        <f t="shared" si="27"/>
        <v>1</v>
      </c>
      <c r="K30" s="2" t="s">
        <v>22</v>
      </c>
      <c r="L30" s="6">
        <f t="shared" ref="L30:Q30" si="28">MAX(0,L28)</f>
        <v>2609.375</v>
      </c>
      <c r="M30" s="6">
        <f t="shared" si="28"/>
        <v>2609.375</v>
      </c>
      <c r="N30" s="6">
        <f t="shared" si="28"/>
        <v>2609.375</v>
      </c>
      <c r="O30" s="6">
        <f t="shared" si="28"/>
        <v>2609.375</v>
      </c>
      <c r="P30" s="6">
        <f t="shared" si="28"/>
        <v>2609.375</v>
      </c>
      <c r="Q30" s="6">
        <f t="shared" si="28"/>
        <v>2609.375</v>
      </c>
    </row>
    <row r="31" spans="1:17" ht="14.25" customHeight="1">
      <c r="A31" s="2" t="s">
        <v>16</v>
      </c>
      <c r="B31" s="13">
        <f t="shared" ref="B31:G31" si="29">$H$25/B25</f>
        <v>1</v>
      </c>
      <c r="C31" s="13">
        <f t="shared" si="29"/>
        <v>1</v>
      </c>
      <c r="D31" s="13">
        <f t="shared" si="29"/>
        <v>1</v>
      </c>
      <c r="E31" s="13">
        <f t="shared" si="29"/>
        <v>1</v>
      </c>
      <c r="F31" s="13">
        <f t="shared" si="29"/>
        <v>1</v>
      </c>
      <c r="G31" s="13">
        <f t="shared" si="29"/>
        <v>1</v>
      </c>
      <c r="K31" s="2" t="s">
        <v>24</v>
      </c>
      <c r="L31" s="6">
        <f t="shared" ref="L31:Q31" si="30">MIN(L34,((L30+L42)))</f>
        <v>1500</v>
      </c>
      <c r="M31" s="6">
        <f t="shared" si="30"/>
        <v>1500</v>
      </c>
      <c r="N31" s="6">
        <f t="shared" si="30"/>
        <v>1500</v>
      </c>
      <c r="O31" s="6">
        <f t="shared" si="30"/>
        <v>1500</v>
      </c>
      <c r="P31" s="6">
        <f t="shared" si="30"/>
        <v>1500</v>
      </c>
      <c r="Q31" s="6">
        <f t="shared" si="30"/>
        <v>1500</v>
      </c>
    </row>
    <row r="32" spans="1:17" ht="14.25" customHeight="1">
      <c r="A32" s="2" t="s">
        <v>26</v>
      </c>
      <c r="B32" s="17">
        <f t="shared" ref="B32:G32" si="31">(B35-B33)*5</f>
        <v>0</v>
      </c>
      <c r="C32" s="17">
        <f t="shared" si="31"/>
        <v>0</v>
      </c>
      <c r="D32" s="17">
        <f t="shared" si="31"/>
        <v>0</v>
      </c>
      <c r="E32" s="17">
        <f t="shared" si="31"/>
        <v>0</v>
      </c>
      <c r="F32" s="17">
        <f t="shared" si="31"/>
        <v>0</v>
      </c>
      <c r="G32" s="17">
        <f t="shared" si="31"/>
        <v>0</v>
      </c>
      <c r="I32" s="18">
        <f>SUM(B32:G32)</f>
        <v>0</v>
      </c>
      <c r="K32" s="2" t="s">
        <v>27</v>
      </c>
      <c r="L32" s="6">
        <f t="shared" ref="L32:Q32" si="32">L30*B24</f>
        <v>15656.25</v>
      </c>
      <c r="M32" s="6">
        <f t="shared" si="32"/>
        <v>15656.25</v>
      </c>
      <c r="N32" s="6">
        <f t="shared" si="32"/>
        <v>15656.25</v>
      </c>
      <c r="O32" s="6">
        <f t="shared" si="32"/>
        <v>15656.25</v>
      </c>
      <c r="P32" s="6">
        <f t="shared" si="32"/>
        <v>15656.25</v>
      </c>
      <c r="Q32" s="6">
        <f t="shared" si="32"/>
        <v>15656.25</v>
      </c>
    </row>
    <row r="33" spans="1:17" ht="14.25" customHeight="1">
      <c r="A33" s="2" t="s">
        <v>28</v>
      </c>
      <c r="B33" s="13">
        <f t="shared" ref="B33:G33" si="33">100/6/100</f>
        <v>0.16666666666666669</v>
      </c>
      <c r="C33" s="13">
        <f t="shared" si="33"/>
        <v>0.16666666666666669</v>
      </c>
      <c r="D33" s="13">
        <f t="shared" si="33"/>
        <v>0.16666666666666669</v>
      </c>
      <c r="E33" s="13">
        <f t="shared" si="33"/>
        <v>0.16666666666666669</v>
      </c>
      <c r="F33" s="13">
        <f t="shared" si="33"/>
        <v>0.16666666666666669</v>
      </c>
      <c r="G33" s="13">
        <f t="shared" si="33"/>
        <v>0.16666666666666669</v>
      </c>
      <c r="I33" s="19">
        <f>SUM(B26:G26)</f>
        <v>9</v>
      </c>
      <c r="K33" s="2" t="s">
        <v>27</v>
      </c>
      <c r="L33" s="1">
        <f t="shared" ref="L33:Q33" si="34">L31*B24</f>
        <v>9000</v>
      </c>
      <c r="M33" s="1">
        <f t="shared" si="34"/>
        <v>9000</v>
      </c>
      <c r="N33" s="1">
        <f t="shared" si="34"/>
        <v>9000</v>
      </c>
      <c r="O33" s="1">
        <f t="shared" si="34"/>
        <v>9000</v>
      </c>
      <c r="P33" s="1">
        <f t="shared" si="34"/>
        <v>9000</v>
      </c>
      <c r="Q33" s="1">
        <f t="shared" si="34"/>
        <v>9000</v>
      </c>
    </row>
    <row r="34" spans="1:17" ht="14.25" customHeight="1">
      <c r="A34" s="2" t="s">
        <v>30</v>
      </c>
      <c r="B34" s="1">
        <f t="shared" ref="B34:G34" si="35">1/B26</f>
        <v>0.66666666666666663</v>
      </c>
      <c r="C34" s="1">
        <f t="shared" si="35"/>
        <v>0.66666666666666663</v>
      </c>
      <c r="D34" s="1">
        <f t="shared" si="35"/>
        <v>0.66666666666666663</v>
      </c>
      <c r="E34" s="1">
        <f t="shared" si="35"/>
        <v>0.66666666666666663</v>
      </c>
      <c r="F34" s="1">
        <f t="shared" si="35"/>
        <v>0.66666666666666663</v>
      </c>
      <c r="G34" s="1">
        <f t="shared" si="35"/>
        <v>0.66666666666666663</v>
      </c>
      <c r="I34" s="1">
        <f t="shared" ref="I34:I36" si="36">SUM(B34:G34)</f>
        <v>3.9999999999999996</v>
      </c>
      <c r="K34" s="2" t="s">
        <v>29</v>
      </c>
      <c r="L34" s="20">
        <f>Capaciteit!S27</f>
        <v>1500</v>
      </c>
      <c r="M34" s="20">
        <f>Capaciteit!T27</f>
        <v>1500</v>
      </c>
      <c r="N34" s="20">
        <f>Capaciteit!U27</f>
        <v>1500</v>
      </c>
      <c r="O34" s="20">
        <f>Capaciteit!V27</f>
        <v>1500</v>
      </c>
      <c r="P34" s="20">
        <f>Capaciteit!W27</f>
        <v>1500</v>
      </c>
      <c r="Q34" s="20">
        <f>Capaciteit!X27</f>
        <v>1500</v>
      </c>
    </row>
    <row r="35" spans="1:17" ht="14.25" customHeight="1">
      <c r="A35" s="2" t="s">
        <v>31</v>
      </c>
      <c r="B35" s="10">
        <f t="shared" ref="B35:G35" si="37">B34/$I34</f>
        <v>0.16666666666666669</v>
      </c>
      <c r="C35" s="10">
        <f t="shared" si="37"/>
        <v>0.16666666666666669</v>
      </c>
      <c r="D35" s="10">
        <f t="shared" si="37"/>
        <v>0.16666666666666669</v>
      </c>
      <c r="E35" s="10">
        <f t="shared" si="37"/>
        <v>0.16666666666666669</v>
      </c>
      <c r="F35" s="10">
        <f t="shared" si="37"/>
        <v>0.16666666666666669</v>
      </c>
      <c r="G35" s="10">
        <f t="shared" si="37"/>
        <v>0.16666666666666669</v>
      </c>
      <c r="I35" s="1">
        <f t="shared" si="36"/>
        <v>1.0000000000000002</v>
      </c>
    </row>
    <row r="36" spans="1:17" ht="14.25" customHeight="1">
      <c r="A36" s="2" t="s">
        <v>32</v>
      </c>
      <c r="B36" s="1">
        <f t="shared" ref="B36:G36" si="38">B35-B33</f>
        <v>0</v>
      </c>
      <c r="C36" s="1">
        <f t="shared" si="38"/>
        <v>0</v>
      </c>
      <c r="D36" s="1">
        <f t="shared" si="38"/>
        <v>0</v>
      </c>
      <c r="E36" s="1">
        <f t="shared" si="38"/>
        <v>0</v>
      </c>
      <c r="F36" s="1">
        <f t="shared" si="38"/>
        <v>0</v>
      </c>
      <c r="G36" s="1">
        <f t="shared" si="38"/>
        <v>0</v>
      </c>
      <c r="I36" s="1">
        <f t="shared" si="36"/>
        <v>0</v>
      </c>
      <c r="L36" s="6"/>
      <c r="M36" s="6"/>
      <c r="N36" s="6"/>
      <c r="O36" s="6"/>
      <c r="P36" s="6"/>
      <c r="Q36" s="6"/>
    </row>
    <row r="37" spans="1:17" ht="14.25" customHeight="1"/>
    <row r="38" spans="1:17" ht="14.25" customHeight="1">
      <c r="N38" s="6"/>
      <c r="O38" s="6"/>
      <c r="P38" s="6"/>
      <c r="Q38" s="6"/>
    </row>
    <row r="39" spans="1:17" ht="14.25" customHeight="1"/>
    <row r="40" spans="1:17" ht="14.25" customHeight="1"/>
    <row r="41" spans="1:17" ht="14.25" customHeight="1"/>
    <row r="42" spans="1:17" ht="14.25" customHeight="1">
      <c r="K42" s="2" t="s">
        <v>38</v>
      </c>
      <c r="L42" s="6">
        <f t="shared" ref="L42:Q42" si="39">L40*$R36</f>
        <v>0</v>
      </c>
      <c r="M42" s="6">
        <f t="shared" si="39"/>
        <v>0</v>
      </c>
      <c r="N42" s="6">
        <f t="shared" si="39"/>
        <v>0</v>
      </c>
      <c r="O42" s="6">
        <f t="shared" si="39"/>
        <v>0</v>
      </c>
      <c r="P42" s="6">
        <f t="shared" si="39"/>
        <v>0</v>
      </c>
      <c r="Q42" s="6">
        <f t="shared" si="39"/>
        <v>0</v>
      </c>
    </row>
    <row r="43" spans="1:17" ht="14.25" customHeight="1">
      <c r="K43" s="1" t="s">
        <v>33</v>
      </c>
      <c r="L43" s="3">
        <f t="shared" ref="L43:Q43" si="40">L31</f>
        <v>1500</v>
      </c>
      <c r="M43" s="3">
        <f t="shared" si="40"/>
        <v>1500</v>
      </c>
      <c r="N43" s="3">
        <f t="shared" si="40"/>
        <v>1500</v>
      </c>
      <c r="O43" s="3">
        <f t="shared" si="40"/>
        <v>1500</v>
      </c>
      <c r="P43" s="3">
        <f t="shared" si="40"/>
        <v>1500</v>
      </c>
      <c r="Q43" s="3">
        <f t="shared" si="40"/>
        <v>1500</v>
      </c>
    </row>
    <row r="44" spans="1:17" ht="14.25" customHeight="1">
      <c r="K44" s="1" t="s">
        <v>34</v>
      </c>
      <c r="L44" s="3">
        <f t="shared" ref="L44:Q44" si="41">L33</f>
        <v>9000</v>
      </c>
      <c r="M44" s="3">
        <f t="shared" si="41"/>
        <v>9000</v>
      </c>
      <c r="N44" s="3">
        <f t="shared" si="41"/>
        <v>9000</v>
      </c>
      <c r="O44" s="3">
        <f t="shared" si="41"/>
        <v>9000</v>
      </c>
      <c r="P44" s="3">
        <f t="shared" si="41"/>
        <v>9000</v>
      </c>
      <c r="Q44" s="3">
        <f t="shared" si="41"/>
        <v>9000</v>
      </c>
    </row>
    <row r="45" spans="1:17" ht="14.25" customHeight="1">
      <c r="K45" s="1" t="s">
        <v>35</v>
      </c>
    </row>
    <row r="46" spans="1:17" ht="14.25" customHeight="1"/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3"/>
  <sheetViews>
    <sheetView workbookViewId="0"/>
  </sheetViews>
  <sheetFormatPr defaultColWidth="12.625" defaultRowHeight="15" customHeight="1"/>
  <cols>
    <col min="1" max="1" width="9.875" customWidth="1"/>
    <col min="2" max="8" width="7.625" customWidth="1"/>
    <col min="9" max="9" width="10.5" customWidth="1"/>
    <col min="10" max="26" width="7.625" customWidth="1"/>
  </cols>
  <sheetData>
    <row r="1" spans="1:23" ht="14.25" customHeight="1">
      <c r="A1" s="2" t="s">
        <v>39</v>
      </c>
      <c r="I1" s="2" t="s">
        <v>40</v>
      </c>
      <c r="Q1" s="2" t="s">
        <v>41</v>
      </c>
    </row>
    <row r="2" spans="1:23" ht="14.25" customHeight="1"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J2" s="10">
        <v>1</v>
      </c>
      <c r="K2" s="10">
        <v>2</v>
      </c>
      <c r="L2" s="10">
        <v>3</v>
      </c>
      <c r="M2" s="10">
        <v>4</v>
      </c>
      <c r="N2" s="10">
        <v>5</v>
      </c>
      <c r="O2" s="10">
        <v>6</v>
      </c>
      <c r="R2" s="10">
        <v>1</v>
      </c>
      <c r="S2" s="10">
        <v>2</v>
      </c>
      <c r="T2" s="10">
        <v>3</v>
      </c>
      <c r="U2" s="10">
        <v>4</v>
      </c>
      <c r="V2" s="10">
        <v>5</v>
      </c>
      <c r="W2" s="10">
        <v>6</v>
      </c>
    </row>
    <row r="3" spans="1:23" ht="14.25" customHeight="1">
      <c r="B3" s="10"/>
      <c r="C3" s="10"/>
      <c r="D3" s="10"/>
      <c r="E3" s="10"/>
      <c r="F3" s="10"/>
      <c r="G3" s="10"/>
      <c r="J3" s="10"/>
      <c r="K3" s="10"/>
      <c r="L3" s="10"/>
      <c r="M3" s="10"/>
      <c r="N3" s="10"/>
      <c r="O3" s="10"/>
      <c r="R3" s="10"/>
      <c r="S3" s="10"/>
      <c r="T3" s="10"/>
      <c r="U3" s="10"/>
      <c r="V3" s="10"/>
      <c r="W3" s="10"/>
    </row>
    <row r="4" spans="1:23" ht="14.25" customHeight="1">
      <c r="A4" s="28" t="s">
        <v>15</v>
      </c>
      <c r="B4" s="29">
        <f>'Dashboard '!B3</f>
        <v>6</v>
      </c>
      <c r="C4" s="29">
        <v>6</v>
      </c>
      <c r="D4" s="29">
        <v>6</v>
      </c>
      <c r="E4" s="29">
        <v>6</v>
      </c>
      <c r="F4" s="29">
        <v>6</v>
      </c>
      <c r="G4" s="29">
        <v>6</v>
      </c>
      <c r="I4" s="28" t="s">
        <v>15</v>
      </c>
      <c r="J4" s="29">
        <f t="shared" ref="J4:O4" si="0">B4</f>
        <v>6</v>
      </c>
      <c r="K4" s="29">
        <f t="shared" si="0"/>
        <v>6</v>
      </c>
      <c r="L4" s="29">
        <f t="shared" si="0"/>
        <v>6</v>
      </c>
      <c r="M4" s="29">
        <f t="shared" si="0"/>
        <v>6</v>
      </c>
      <c r="N4" s="29">
        <f t="shared" si="0"/>
        <v>6</v>
      </c>
      <c r="O4" s="29">
        <f t="shared" si="0"/>
        <v>6</v>
      </c>
      <c r="Q4" s="28" t="s">
        <v>15</v>
      </c>
      <c r="R4" s="29">
        <f t="shared" ref="R4:W4" si="1">J4</f>
        <v>6</v>
      </c>
      <c r="S4" s="29">
        <f t="shared" si="1"/>
        <v>6</v>
      </c>
      <c r="T4" s="29">
        <f t="shared" si="1"/>
        <v>6</v>
      </c>
      <c r="U4" s="29">
        <f t="shared" si="1"/>
        <v>6</v>
      </c>
      <c r="V4" s="29">
        <f t="shared" si="1"/>
        <v>6</v>
      </c>
      <c r="W4" s="29">
        <f t="shared" si="1"/>
        <v>6</v>
      </c>
    </row>
    <row r="5" spans="1:23" ht="14.25" customHeight="1">
      <c r="A5" s="30" t="s">
        <v>17</v>
      </c>
      <c r="B5" s="29">
        <f>'Dashboard '!B4</f>
        <v>2</v>
      </c>
      <c r="C5" s="28">
        <v>2</v>
      </c>
      <c r="D5" s="28">
        <v>2</v>
      </c>
      <c r="E5" s="28">
        <v>2</v>
      </c>
      <c r="F5" s="28">
        <v>2</v>
      </c>
      <c r="G5" s="28">
        <v>2</v>
      </c>
      <c r="I5" s="30" t="s">
        <v>17</v>
      </c>
      <c r="J5" s="31">
        <f t="shared" ref="J5:O5" si="2">B5</f>
        <v>2</v>
      </c>
      <c r="K5" s="31">
        <f t="shared" si="2"/>
        <v>2</v>
      </c>
      <c r="L5" s="31">
        <f t="shared" si="2"/>
        <v>2</v>
      </c>
      <c r="M5" s="31">
        <f t="shared" si="2"/>
        <v>2</v>
      </c>
      <c r="N5" s="31">
        <f t="shared" si="2"/>
        <v>2</v>
      </c>
      <c r="O5" s="31">
        <f t="shared" si="2"/>
        <v>2</v>
      </c>
      <c r="Q5" s="30" t="s">
        <v>17</v>
      </c>
      <c r="R5" s="28">
        <f t="shared" ref="R5:W5" si="3">J5</f>
        <v>2</v>
      </c>
      <c r="S5" s="28">
        <f t="shared" si="3"/>
        <v>2</v>
      </c>
      <c r="T5" s="28">
        <f t="shared" si="3"/>
        <v>2</v>
      </c>
      <c r="U5" s="28">
        <f t="shared" si="3"/>
        <v>2</v>
      </c>
      <c r="V5" s="28">
        <f t="shared" si="3"/>
        <v>2</v>
      </c>
      <c r="W5" s="28">
        <f t="shared" si="3"/>
        <v>2</v>
      </c>
    </row>
    <row r="6" spans="1:23" ht="14.25" customHeight="1">
      <c r="A6" s="30"/>
      <c r="B6" s="28"/>
      <c r="C6" s="28"/>
      <c r="D6" s="28"/>
      <c r="E6" s="28"/>
      <c r="F6" s="28"/>
      <c r="G6" s="28"/>
      <c r="I6" s="30"/>
      <c r="J6" s="31">
        <f t="shared" ref="J6:O6" si="4">B6</f>
        <v>0</v>
      </c>
      <c r="K6" s="31">
        <f t="shared" si="4"/>
        <v>0</v>
      </c>
      <c r="L6" s="31">
        <f t="shared" si="4"/>
        <v>0</v>
      </c>
      <c r="M6" s="31">
        <f t="shared" si="4"/>
        <v>0</v>
      </c>
      <c r="N6" s="31">
        <f t="shared" si="4"/>
        <v>0</v>
      </c>
      <c r="O6" s="31">
        <f t="shared" si="4"/>
        <v>0</v>
      </c>
      <c r="Q6" s="30"/>
      <c r="R6" s="28"/>
      <c r="S6" s="28"/>
      <c r="T6" s="30"/>
      <c r="U6" s="30"/>
      <c r="V6" s="30"/>
      <c r="W6" s="28"/>
    </row>
    <row r="7" spans="1:23" ht="14.25" customHeight="1">
      <c r="A7" s="30" t="s">
        <v>20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I7" s="30" t="s">
        <v>20</v>
      </c>
      <c r="J7" s="31">
        <f t="shared" ref="J7:O7" si="5">B7</f>
        <v>0</v>
      </c>
      <c r="K7" s="31">
        <f t="shared" si="5"/>
        <v>0</v>
      </c>
      <c r="L7" s="31">
        <f t="shared" si="5"/>
        <v>0</v>
      </c>
      <c r="M7" s="31">
        <f t="shared" si="5"/>
        <v>0</v>
      </c>
      <c r="N7" s="31">
        <f t="shared" si="5"/>
        <v>0</v>
      </c>
      <c r="O7" s="31">
        <f t="shared" si="5"/>
        <v>0</v>
      </c>
      <c r="Q7" s="30" t="s">
        <v>20</v>
      </c>
      <c r="R7" s="28">
        <f t="shared" ref="R7:W7" si="6">J7</f>
        <v>0</v>
      </c>
      <c r="S7" s="28">
        <f t="shared" si="6"/>
        <v>0</v>
      </c>
      <c r="T7" s="28">
        <f t="shared" si="6"/>
        <v>0</v>
      </c>
      <c r="U7" s="28">
        <f t="shared" si="6"/>
        <v>0</v>
      </c>
      <c r="V7" s="28">
        <f t="shared" si="6"/>
        <v>0</v>
      </c>
      <c r="W7" s="28">
        <f t="shared" si="6"/>
        <v>0</v>
      </c>
    </row>
    <row r="8" spans="1:23" ht="14.25" customHeight="1">
      <c r="J8" s="32">
        <f t="shared" ref="J8:O8" si="7">B8</f>
        <v>0</v>
      </c>
      <c r="K8" s="32">
        <f t="shared" si="7"/>
        <v>0</v>
      </c>
      <c r="L8" s="32">
        <f t="shared" si="7"/>
        <v>0</v>
      </c>
      <c r="M8" s="32">
        <f t="shared" si="7"/>
        <v>0</v>
      </c>
      <c r="N8" s="32">
        <f t="shared" si="7"/>
        <v>0</v>
      </c>
      <c r="O8" s="32">
        <f t="shared" si="7"/>
        <v>0</v>
      </c>
    </row>
    <row r="9" spans="1:23" ht="14.25" customHeight="1">
      <c r="A9" s="2" t="s">
        <v>42</v>
      </c>
      <c r="B9" s="2">
        <f>'Dashboard '!B12</f>
        <v>1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I9" s="2" t="s">
        <v>42</v>
      </c>
      <c r="J9" s="33">
        <f t="shared" ref="J9:O9" si="8">B9</f>
        <v>1</v>
      </c>
      <c r="K9" s="33">
        <f t="shared" si="8"/>
        <v>1</v>
      </c>
      <c r="L9" s="33">
        <f t="shared" si="8"/>
        <v>1</v>
      </c>
      <c r="M9" s="33">
        <f t="shared" si="8"/>
        <v>1</v>
      </c>
      <c r="N9" s="33">
        <f t="shared" si="8"/>
        <v>1</v>
      </c>
      <c r="O9" s="33">
        <f t="shared" si="8"/>
        <v>1</v>
      </c>
      <c r="Q9" s="2" t="s">
        <v>42</v>
      </c>
      <c r="R9" s="2">
        <f t="shared" ref="R9:W9" si="9">J9</f>
        <v>1</v>
      </c>
      <c r="S9" s="2">
        <f t="shared" si="9"/>
        <v>1</v>
      </c>
      <c r="T9" s="2">
        <f t="shared" si="9"/>
        <v>1</v>
      </c>
      <c r="U9" s="2">
        <f t="shared" si="9"/>
        <v>1</v>
      </c>
      <c r="V9" s="2">
        <f t="shared" si="9"/>
        <v>1</v>
      </c>
      <c r="W9" s="2">
        <f t="shared" si="9"/>
        <v>1</v>
      </c>
    </row>
    <row r="10" spans="1:23" ht="14.25" customHeight="1">
      <c r="A10" s="1" t="s">
        <v>43</v>
      </c>
      <c r="B10" s="2">
        <f>'Dashboard '!B13</f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I10" s="1" t="s">
        <v>43</v>
      </c>
      <c r="J10" s="33">
        <f t="shared" ref="J10:O10" si="10">B10</f>
        <v>0</v>
      </c>
      <c r="K10" s="33">
        <f t="shared" si="10"/>
        <v>0</v>
      </c>
      <c r="L10" s="33">
        <f t="shared" si="10"/>
        <v>0</v>
      </c>
      <c r="M10" s="33">
        <f t="shared" si="10"/>
        <v>0</v>
      </c>
      <c r="N10" s="33">
        <f t="shared" si="10"/>
        <v>0</v>
      </c>
      <c r="O10" s="33">
        <f t="shared" si="10"/>
        <v>0</v>
      </c>
      <c r="Q10" s="1" t="s">
        <v>43</v>
      </c>
      <c r="R10" s="2">
        <f t="shared" ref="R10:W10" si="11">J10</f>
        <v>0</v>
      </c>
      <c r="S10" s="2">
        <f t="shared" si="11"/>
        <v>0</v>
      </c>
      <c r="T10" s="2">
        <f t="shared" si="11"/>
        <v>0</v>
      </c>
      <c r="U10" s="2">
        <f t="shared" si="11"/>
        <v>0</v>
      </c>
      <c r="V10" s="2">
        <f t="shared" si="11"/>
        <v>0</v>
      </c>
      <c r="W10" s="2">
        <f t="shared" si="11"/>
        <v>0</v>
      </c>
    </row>
    <row r="11" spans="1:23" ht="14.25" customHeight="1">
      <c r="A11" s="1" t="s">
        <v>44</v>
      </c>
      <c r="B11" s="2">
        <f>'Dashboard '!B14</f>
        <v>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I11" s="1" t="s">
        <v>44</v>
      </c>
      <c r="J11" s="33">
        <f t="shared" ref="J11:O11" si="12">B11</f>
        <v>1</v>
      </c>
      <c r="K11" s="33">
        <f t="shared" si="12"/>
        <v>1</v>
      </c>
      <c r="L11" s="33">
        <f t="shared" si="12"/>
        <v>1</v>
      </c>
      <c r="M11" s="33">
        <f t="shared" si="12"/>
        <v>1</v>
      </c>
      <c r="N11" s="33">
        <f t="shared" si="12"/>
        <v>1</v>
      </c>
      <c r="O11" s="33">
        <f t="shared" si="12"/>
        <v>1</v>
      </c>
      <c r="Q11" s="1" t="s">
        <v>44</v>
      </c>
      <c r="R11" s="2">
        <f t="shared" ref="R11:W11" si="13">J11</f>
        <v>1</v>
      </c>
      <c r="S11" s="2">
        <f t="shared" si="13"/>
        <v>1</v>
      </c>
      <c r="T11" s="2">
        <f t="shared" si="13"/>
        <v>1</v>
      </c>
      <c r="U11" s="2">
        <f t="shared" si="13"/>
        <v>1</v>
      </c>
      <c r="V11" s="2">
        <f t="shared" si="13"/>
        <v>1</v>
      </c>
      <c r="W11" s="2">
        <f t="shared" si="13"/>
        <v>1</v>
      </c>
    </row>
    <row r="12" spans="1:23" ht="14.25" customHeight="1">
      <c r="A12" s="1" t="s">
        <v>45</v>
      </c>
      <c r="B12" s="2">
        <f>'Dashboard '!B15</f>
        <v>3</v>
      </c>
      <c r="C12" s="34">
        <v>3</v>
      </c>
      <c r="D12" s="34">
        <v>3</v>
      </c>
      <c r="E12" s="34">
        <v>3</v>
      </c>
      <c r="F12" s="34">
        <v>3</v>
      </c>
      <c r="G12" s="34">
        <v>3</v>
      </c>
      <c r="I12" s="1" t="s">
        <v>45</v>
      </c>
      <c r="J12" s="33">
        <f t="shared" ref="J12:O12" si="14">B12</f>
        <v>3</v>
      </c>
      <c r="K12" s="33">
        <f t="shared" si="14"/>
        <v>3</v>
      </c>
      <c r="L12" s="33">
        <f t="shared" si="14"/>
        <v>3</v>
      </c>
      <c r="M12" s="33">
        <f t="shared" si="14"/>
        <v>3</v>
      </c>
      <c r="N12" s="33">
        <f t="shared" si="14"/>
        <v>3</v>
      </c>
      <c r="O12" s="33">
        <f t="shared" si="14"/>
        <v>3</v>
      </c>
      <c r="Q12" s="1" t="s">
        <v>45</v>
      </c>
      <c r="R12" s="2">
        <f t="shared" ref="R12:W12" si="15">J12</f>
        <v>3</v>
      </c>
      <c r="S12" s="2">
        <f t="shared" si="15"/>
        <v>3</v>
      </c>
      <c r="T12" s="2">
        <f t="shared" si="15"/>
        <v>3</v>
      </c>
      <c r="U12" s="2">
        <f t="shared" si="15"/>
        <v>3</v>
      </c>
      <c r="V12" s="2">
        <f t="shared" si="15"/>
        <v>3</v>
      </c>
      <c r="W12" s="2">
        <f t="shared" si="15"/>
        <v>3</v>
      </c>
    </row>
    <row r="13" spans="1:23" ht="14.25" customHeight="1"/>
    <row r="14" spans="1:23" ht="14.25" customHeight="1"/>
    <row r="15" spans="1:23" ht="14.25" customHeight="1">
      <c r="A15" s="2" t="s">
        <v>46</v>
      </c>
      <c r="B15" s="13"/>
      <c r="C15" s="13"/>
      <c r="D15" s="10"/>
      <c r="E15" s="10"/>
      <c r="F15" s="10"/>
      <c r="G15" s="10"/>
      <c r="I15" s="2" t="s">
        <v>47</v>
      </c>
      <c r="J15" s="13"/>
      <c r="K15" s="13"/>
      <c r="L15" s="10"/>
      <c r="M15" s="10"/>
      <c r="N15" s="10"/>
      <c r="O15" s="10"/>
      <c r="Q15" s="2" t="s">
        <v>48</v>
      </c>
      <c r="R15" s="13"/>
      <c r="S15" s="13"/>
      <c r="T15" s="10"/>
      <c r="U15" s="10"/>
      <c r="V15" s="10"/>
      <c r="W15" s="10"/>
    </row>
    <row r="16" spans="1:23" ht="14.25" customHeight="1"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10">
        <v>6</v>
      </c>
    </row>
    <row r="17" spans="1:23" ht="14.25" customHeight="1">
      <c r="B17" s="10"/>
      <c r="C17" s="10"/>
      <c r="D17" s="10"/>
      <c r="E17" s="10"/>
      <c r="F17" s="10"/>
      <c r="G17" s="10"/>
    </row>
    <row r="18" spans="1:23" ht="14.25" customHeight="1">
      <c r="A18" s="28" t="s">
        <v>15</v>
      </c>
      <c r="B18" s="29">
        <f t="shared" ref="B18:G18" si="16">R4</f>
        <v>6</v>
      </c>
      <c r="C18" s="29">
        <f t="shared" si="16"/>
        <v>6</v>
      </c>
      <c r="D18" s="29">
        <f t="shared" si="16"/>
        <v>6</v>
      </c>
      <c r="E18" s="29">
        <f t="shared" si="16"/>
        <v>6</v>
      </c>
      <c r="F18" s="29">
        <f t="shared" si="16"/>
        <v>6</v>
      </c>
      <c r="G18" s="29">
        <f t="shared" si="16"/>
        <v>6</v>
      </c>
      <c r="I18" s="28" t="s">
        <v>15</v>
      </c>
      <c r="J18" s="29">
        <f t="shared" ref="J18:O18" si="17">B18</f>
        <v>6</v>
      </c>
      <c r="K18" s="29">
        <f t="shared" si="17"/>
        <v>6</v>
      </c>
      <c r="L18" s="29">
        <f t="shared" si="17"/>
        <v>6</v>
      </c>
      <c r="M18" s="29">
        <f t="shared" si="17"/>
        <v>6</v>
      </c>
      <c r="N18" s="29">
        <f t="shared" si="17"/>
        <v>6</v>
      </c>
      <c r="O18" s="29">
        <f t="shared" si="17"/>
        <v>6</v>
      </c>
      <c r="Q18" s="28" t="s">
        <v>15</v>
      </c>
      <c r="R18" s="29">
        <f t="shared" ref="R18:R26" si="18">J18</f>
        <v>6</v>
      </c>
      <c r="S18" s="29">
        <v>6</v>
      </c>
      <c r="T18" s="29">
        <f t="shared" ref="T18:W18" si="19">L18</f>
        <v>6</v>
      </c>
      <c r="U18" s="29">
        <f t="shared" si="19"/>
        <v>6</v>
      </c>
      <c r="V18" s="29">
        <f t="shared" si="19"/>
        <v>6</v>
      </c>
      <c r="W18" s="29">
        <f t="shared" si="19"/>
        <v>6</v>
      </c>
    </row>
    <row r="19" spans="1:23" ht="14.25" customHeight="1">
      <c r="A19" s="30" t="s">
        <v>17</v>
      </c>
      <c r="B19" s="29">
        <f t="shared" ref="B19:G19" si="20">R5</f>
        <v>2</v>
      </c>
      <c r="C19" s="29">
        <f t="shared" si="20"/>
        <v>2</v>
      </c>
      <c r="D19" s="29">
        <f t="shared" si="20"/>
        <v>2</v>
      </c>
      <c r="E19" s="29">
        <f t="shared" si="20"/>
        <v>2</v>
      </c>
      <c r="F19" s="29">
        <f t="shared" si="20"/>
        <v>2</v>
      </c>
      <c r="G19" s="29">
        <f t="shared" si="20"/>
        <v>2</v>
      </c>
      <c r="I19" s="30" t="s">
        <v>17</v>
      </c>
      <c r="J19" s="29">
        <f t="shared" ref="J19:O19" si="21">B19</f>
        <v>2</v>
      </c>
      <c r="K19" s="29">
        <f t="shared" si="21"/>
        <v>2</v>
      </c>
      <c r="L19" s="29">
        <f t="shared" si="21"/>
        <v>2</v>
      </c>
      <c r="M19" s="29">
        <f t="shared" si="21"/>
        <v>2</v>
      </c>
      <c r="N19" s="29">
        <f t="shared" si="21"/>
        <v>2</v>
      </c>
      <c r="O19" s="29">
        <f t="shared" si="21"/>
        <v>2</v>
      </c>
      <c r="Q19" s="30" t="s">
        <v>17</v>
      </c>
      <c r="R19" s="29">
        <f t="shared" si="18"/>
        <v>2</v>
      </c>
      <c r="S19" s="29">
        <f t="shared" ref="S19:W19" si="22">K19</f>
        <v>2</v>
      </c>
      <c r="T19" s="29">
        <f t="shared" si="22"/>
        <v>2</v>
      </c>
      <c r="U19" s="29">
        <f t="shared" si="22"/>
        <v>2</v>
      </c>
      <c r="V19" s="29">
        <f t="shared" si="22"/>
        <v>2</v>
      </c>
      <c r="W19" s="29">
        <f t="shared" si="22"/>
        <v>2</v>
      </c>
    </row>
    <row r="20" spans="1:23" ht="14.25" customHeight="1">
      <c r="A20" s="30"/>
      <c r="B20" s="29">
        <f t="shared" ref="B20:G20" si="23">R6</f>
        <v>0</v>
      </c>
      <c r="C20" s="29">
        <f t="shared" si="23"/>
        <v>0</v>
      </c>
      <c r="D20" s="29">
        <f t="shared" si="23"/>
        <v>0</v>
      </c>
      <c r="E20" s="29">
        <f t="shared" si="23"/>
        <v>0</v>
      </c>
      <c r="F20" s="29">
        <f t="shared" si="23"/>
        <v>0</v>
      </c>
      <c r="G20" s="29">
        <f t="shared" si="23"/>
        <v>0</v>
      </c>
      <c r="I20" s="30"/>
      <c r="J20" s="29">
        <f t="shared" ref="J20:O20" si="24">B20</f>
        <v>0</v>
      </c>
      <c r="K20" s="29">
        <f t="shared" si="24"/>
        <v>0</v>
      </c>
      <c r="L20" s="29">
        <f t="shared" si="24"/>
        <v>0</v>
      </c>
      <c r="M20" s="29">
        <f t="shared" si="24"/>
        <v>0</v>
      </c>
      <c r="N20" s="29">
        <f t="shared" si="24"/>
        <v>0</v>
      </c>
      <c r="O20" s="29">
        <f t="shared" si="24"/>
        <v>0</v>
      </c>
      <c r="Q20" s="30"/>
      <c r="R20" s="29">
        <f t="shared" si="18"/>
        <v>0</v>
      </c>
      <c r="S20" s="29">
        <f t="shared" ref="S20:W20" si="25">K20</f>
        <v>0</v>
      </c>
      <c r="T20" s="29">
        <f t="shared" si="25"/>
        <v>0</v>
      </c>
      <c r="U20" s="29">
        <f t="shared" si="25"/>
        <v>0</v>
      </c>
      <c r="V20" s="29">
        <f t="shared" si="25"/>
        <v>0</v>
      </c>
      <c r="W20" s="29">
        <f t="shared" si="25"/>
        <v>0</v>
      </c>
    </row>
    <row r="21" spans="1:23" ht="14.25" customHeight="1">
      <c r="A21" s="30" t="s">
        <v>20</v>
      </c>
      <c r="B21" s="29">
        <f t="shared" ref="B21:G21" si="26">R7</f>
        <v>0</v>
      </c>
      <c r="C21" s="29">
        <f t="shared" si="26"/>
        <v>0</v>
      </c>
      <c r="D21" s="29">
        <f t="shared" si="26"/>
        <v>0</v>
      </c>
      <c r="E21" s="29">
        <f t="shared" si="26"/>
        <v>0</v>
      </c>
      <c r="F21" s="29">
        <f t="shared" si="26"/>
        <v>0</v>
      </c>
      <c r="G21" s="29">
        <f t="shared" si="26"/>
        <v>0</v>
      </c>
      <c r="I21" s="30" t="s">
        <v>20</v>
      </c>
      <c r="J21" s="29">
        <f t="shared" ref="J21:O21" si="27">B21</f>
        <v>0</v>
      </c>
      <c r="K21" s="29">
        <f t="shared" si="27"/>
        <v>0</v>
      </c>
      <c r="L21" s="29">
        <f t="shared" si="27"/>
        <v>0</v>
      </c>
      <c r="M21" s="29">
        <f t="shared" si="27"/>
        <v>0</v>
      </c>
      <c r="N21" s="29">
        <f t="shared" si="27"/>
        <v>0</v>
      </c>
      <c r="O21" s="29">
        <f t="shared" si="27"/>
        <v>0</v>
      </c>
      <c r="Q21" s="30" t="s">
        <v>20</v>
      </c>
      <c r="R21" s="29">
        <f t="shared" si="18"/>
        <v>0</v>
      </c>
      <c r="S21" s="29">
        <f t="shared" ref="S21:W21" si="28">K21</f>
        <v>0</v>
      </c>
      <c r="T21" s="29">
        <f t="shared" si="28"/>
        <v>0</v>
      </c>
      <c r="U21" s="29">
        <f t="shared" si="28"/>
        <v>0</v>
      </c>
      <c r="V21" s="29">
        <f t="shared" si="28"/>
        <v>0</v>
      </c>
      <c r="W21" s="29">
        <f t="shared" si="28"/>
        <v>0</v>
      </c>
    </row>
    <row r="22" spans="1:23" ht="14.25" customHeight="1">
      <c r="B22" s="29">
        <f t="shared" ref="B22:G22" si="29">R8</f>
        <v>0</v>
      </c>
      <c r="C22" s="29">
        <f t="shared" si="29"/>
        <v>0</v>
      </c>
      <c r="D22" s="29">
        <f t="shared" si="29"/>
        <v>0</v>
      </c>
      <c r="E22" s="29">
        <f t="shared" si="29"/>
        <v>0</v>
      </c>
      <c r="F22" s="29">
        <f t="shared" si="29"/>
        <v>0</v>
      </c>
      <c r="G22" s="29">
        <f t="shared" si="29"/>
        <v>0</v>
      </c>
      <c r="J22" s="29">
        <f t="shared" ref="J22:O22" si="30">B22</f>
        <v>0</v>
      </c>
      <c r="K22" s="29">
        <f t="shared" si="30"/>
        <v>0</v>
      </c>
      <c r="L22" s="29">
        <f t="shared" si="30"/>
        <v>0</v>
      </c>
      <c r="M22" s="29">
        <f t="shared" si="30"/>
        <v>0</v>
      </c>
      <c r="N22" s="29">
        <f t="shared" si="30"/>
        <v>0</v>
      </c>
      <c r="O22" s="29">
        <f t="shared" si="30"/>
        <v>0</v>
      </c>
      <c r="R22" s="29">
        <f t="shared" si="18"/>
        <v>0</v>
      </c>
      <c r="S22" s="29">
        <f t="shared" ref="S22:W22" si="31">K22</f>
        <v>0</v>
      </c>
      <c r="T22" s="29">
        <f t="shared" si="31"/>
        <v>0</v>
      </c>
      <c r="U22" s="29">
        <f t="shared" si="31"/>
        <v>0</v>
      </c>
      <c r="V22" s="29">
        <f t="shared" si="31"/>
        <v>0</v>
      </c>
      <c r="W22" s="29">
        <f t="shared" si="31"/>
        <v>0</v>
      </c>
    </row>
    <row r="23" spans="1:23" ht="14.25" customHeight="1">
      <c r="A23" s="2" t="s">
        <v>42</v>
      </c>
      <c r="B23" s="29">
        <f t="shared" ref="B23:G23" si="32">R9</f>
        <v>1</v>
      </c>
      <c r="C23" s="29">
        <f t="shared" si="32"/>
        <v>1</v>
      </c>
      <c r="D23" s="29">
        <f t="shared" si="32"/>
        <v>1</v>
      </c>
      <c r="E23" s="29">
        <f t="shared" si="32"/>
        <v>1</v>
      </c>
      <c r="F23" s="29">
        <f t="shared" si="32"/>
        <v>1</v>
      </c>
      <c r="G23" s="29">
        <f t="shared" si="32"/>
        <v>1</v>
      </c>
      <c r="I23" s="2" t="s">
        <v>42</v>
      </c>
      <c r="J23" s="29">
        <f t="shared" ref="J23:O23" si="33">B23</f>
        <v>1</v>
      </c>
      <c r="K23" s="29">
        <f t="shared" si="33"/>
        <v>1</v>
      </c>
      <c r="L23" s="29">
        <f t="shared" si="33"/>
        <v>1</v>
      </c>
      <c r="M23" s="29">
        <f t="shared" si="33"/>
        <v>1</v>
      </c>
      <c r="N23" s="29">
        <f t="shared" si="33"/>
        <v>1</v>
      </c>
      <c r="O23" s="29">
        <f t="shared" si="33"/>
        <v>1</v>
      </c>
      <c r="Q23" s="2" t="s">
        <v>42</v>
      </c>
      <c r="R23" s="29">
        <f t="shared" si="18"/>
        <v>1</v>
      </c>
      <c r="S23" s="29">
        <f t="shared" ref="S23:W23" si="34">K23</f>
        <v>1</v>
      </c>
      <c r="T23" s="29">
        <f t="shared" si="34"/>
        <v>1</v>
      </c>
      <c r="U23" s="29">
        <f t="shared" si="34"/>
        <v>1</v>
      </c>
      <c r="V23" s="29">
        <f t="shared" si="34"/>
        <v>1</v>
      </c>
      <c r="W23" s="29">
        <f t="shared" si="34"/>
        <v>1</v>
      </c>
    </row>
    <row r="24" spans="1:23" ht="14.25" customHeight="1">
      <c r="A24" s="1" t="s">
        <v>43</v>
      </c>
      <c r="B24" s="29">
        <f t="shared" ref="B24:G24" si="35">R10</f>
        <v>0</v>
      </c>
      <c r="C24" s="29">
        <f t="shared" si="35"/>
        <v>0</v>
      </c>
      <c r="D24" s="29">
        <f t="shared" si="35"/>
        <v>0</v>
      </c>
      <c r="E24" s="29">
        <f t="shared" si="35"/>
        <v>0</v>
      </c>
      <c r="F24" s="29">
        <f t="shared" si="35"/>
        <v>0</v>
      </c>
      <c r="G24" s="29">
        <f t="shared" si="35"/>
        <v>0</v>
      </c>
      <c r="I24" s="1" t="s">
        <v>43</v>
      </c>
      <c r="J24" s="29">
        <f t="shared" ref="J24:O24" si="36">B24</f>
        <v>0</v>
      </c>
      <c r="K24" s="29">
        <f t="shared" si="36"/>
        <v>0</v>
      </c>
      <c r="L24" s="29">
        <f t="shared" si="36"/>
        <v>0</v>
      </c>
      <c r="M24" s="29">
        <f t="shared" si="36"/>
        <v>0</v>
      </c>
      <c r="N24" s="29">
        <f t="shared" si="36"/>
        <v>0</v>
      </c>
      <c r="O24" s="29">
        <f t="shared" si="36"/>
        <v>0</v>
      </c>
      <c r="Q24" s="1" t="s">
        <v>43</v>
      </c>
      <c r="R24" s="29">
        <f t="shared" si="18"/>
        <v>0</v>
      </c>
      <c r="S24" s="29">
        <f t="shared" ref="S24:W24" si="37">K24</f>
        <v>0</v>
      </c>
      <c r="T24" s="29">
        <f t="shared" si="37"/>
        <v>0</v>
      </c>
      <c r="U24" s="29">
        <f t="shared" si="37"/>
        <v>0</v>
      </c>
      <c r="V24" s="29">
        <f t="shared" si="37"/>
        <v>0</v>
      </c>
      <c r="W24" s="29">
        <f t="shared" si="37"/>
        <v>0</v>
      </c>
    </row>
    <row r="25" spans="1:23" ht="14.25" customHeight="1">
      <c r="A25" s="1" t="s">
        <v>44</v>
      </c>
      <c r="B25" s="29">
        <f t="shared" ref="B25:G25" si="38">R11</f>
        <v>1</v>
      </c>
      <c r="C25" s="29">
        <f t="shared" si="38"/>
        <v>1</v>
      </c>
      <c r="D25" s="29">
        <f t="shared" si="38"/>
        <v>1</v>
      </c>
      <c r="E25" s="29">
        <f t="shared" si="38"/>
        <v>1</v>
      </c>
      <c r="F25" s="29">
        <f t="shared" si="38"/>
        <v>1</v>
      </c>
      <c r="G25" s="29">
        <f t="shared" si="38"/>
        <v>1</v>
      </c>
      <c r="I25" s="1" t="s">
        <v>44</v>
      </c>
      <c r="J25" s="29">
        <f t="shared" ref="J25:O25" si="39">B25</f>
        <v>1</v>
      </c>
      <c r="K25" s="29">
        <f t="shared" si="39"/>
        <v>1</v>
      </c>
      <c r="L25" s="29">
        <f t="shared" si="39"/>
        <v>1</v>
      </c>
      <c r="M25" s="29">
        <f t="shared" si="39"/>
        <v>1</v>
      </c>
      <c r="N25" s="29">
        <f t="shared" si="39"/>
        <v>1</v>
      </c>
      <c r="O25" s="29">
        <f t="shared" si="39"/>
        <v>1</v>
      </c>
      <c r="Q25" s="1" t="s">
        <v>44</v>
      </c>
      <c r="R25" s="29">
        <f t="shared" si="18"/>
        <v>1</v>
      </c>
      <c r="S25" s="29">
        <f t="shared" ref="S25:W25" si="40">K25</f>
        <v>1</v>
      </c>
      <c r="T25" s="29">
        <f t="shared" si="40"/>
        <v>1</v>
      </c>
      <c r="U25" s="29">
        <f t="shared" si="40"/>
        <v>1</v>
      </c>
      <c r="V25" s="29">
        <f t="shared" si="40"/>
        <v>1</v>
      </c>
      <c r="W25" s="29">
        <f t="shared" si="40"/>
        <v>1</v>
      </c>
    </row>
    <row r="26" spans="1:23" ht="14.25" customHeight="1">
      <c r="A26" s="1" t="s">
        <v>45</v>
      </c>
      <c r="B26" s="29">
        <f t="shared" ref="B26:G26" si="41">R12</f>
        <v>3</v>
      </c>
      <c r="C26" s="29">
        <f t="shared" si="41"/>
        <v>3</v>
      </c>
      <c r="D26" s="29">
        <f t="shared" si="41"/>
        <v>3</v>
      </c>
      <c r="E26" s="29">
        <f t="shared" si="41"/>
        <v>3</v>
      </c>
      <c r="F26" s="29">
        <f t="shared" si="41"/>
        <v>3</v>
      </c>
      <c r="G26" s="29">
        <f t="shared" si="41"/>
        <v>3</v>
      </c>
      <c r="I26" s="1" t="s">
        <v>45</v>
      </c>
      <c r="J26" s="29">
        <f t="shared" ref="J26:O26" si="42">B26</f>
        <v>3</v>
      </c>
      <c r="K26" s="29">
        <f t="shared" si="42"/>
        <v>3</v>
      </c>
      <c r="L26" s="29">
        <f t="shared" si="42"/>
        <v>3</v>
      </c>
      <c r="M26" s="29">
        <f t="shared" si="42"/>
        <v>3</v>
      </c>
      <c r="N26" s="29">
        <f t="shared" si="42"/>
        <v>3</v>
      </c>
      <c r="O26" s="29">
        <f t="shared" si="42"/>
        <v>3</v>
      </c>
      <c r="Q26" s="1" t="s">
        <v>45</v>
      </c>
      <c r="R26" s="29">
        <f t="shared" si="18"/>
        <v>3</v>
      </c>
      <c r="S26" s="29">
        <f t="shared" ref="S26:W26" si="43">K26</f>
        <v>3</v>
      </c>
      <c r="T26" s="29">
        <f t="shared" si="43"/>
        <v>3</v>
      </c>
      <c r="U26" s="29">
        <f t="shared" si="43"/>
        <v>3</v>
      </c>
      <c r="V26" s="29">
        <f t="shared" si="43"/>
        <v>3</v>
      </c>
      <c r="W26" s="29">
        <f t="shared" si="43"/>
        <v>3</v>
      </c>
    </row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4"/>
  <sheetViews>
    <sheetView workbookViewId="0"/>
  </sheetViews>
  <sheetFormatPr defaultColWidth="12.625" defaultRowHeight="15" customHeight="1"/>
  <cols>
    <col min="1" max="1" width="13.375" customWidth="1"/>
    <col min="2" max="9" width="7.625" customWidth="1"/>
    <col min="10" max="10" width="9.25" customWidth="1"/>
    <col min="11" max="14" width="7.625" customWidth="1"/>
    <col min="15" max="15" width="10.5" customWidth="1"/>
    <col min="16" max="16" width="12.25" customWidth="1"/>
    <col min="17" max="26" width="7.625" customWidth="1"/>
  </cols>
  <sheetData>
    <row r="1" spans="1:26" ht="14.25" customHeight="1">
      <c r="B1" s="35">
        <v>1</v>
      </c>
      <c r="C1" s="35">
        <v>2</v>
      </c>
      <c r="D1" s="35">
        <v>3</v>
      </c>
      <c r="E1" s="35">
        <v>4</v>
      </c>
      <c r="F1" s="36">
        <v>5</v>
      </c>
      <c r="G1" s="36">
        <v>6</v>
      </c>
      <c r="I1" s="37" t="s">
        <v>5</v>
      </c>
      <c r="J1" s="37" t="s">
        <v>15</v>
      </c>
      <c r="L1" s="38" t="s">
        <v>5</v>
      </c>
      <c r="M1" s="38" t="s">
        <v>49</v>
      </c>
      <c r="O1" s="39" t="s">
        <v>5</v>
      </c>
      <c r="P1" s="39" t="s">
        <v>50</v>
      </c>
    </row>
    <row r="2" spans="1:26" ht="14.25" customHeight="1">
      <c r="A2" s="2" t="s">
        <v>51</v>
      </c>
      <c r="B2" s="6">
        <f>'QV en TO ronde 1'!L29</f>
        <v>2609.375</v>
      </c>
      <c r="C2" s="6">
        <f>'QV en TO ronde 1'!M29</f>
        <v>2609.375</v>
      </c>
      <c r="D2" s="6">
        <f>'QV en TO ronde 1'!N29</f>
        <v>2609.375</v>
      </c>
      <c r="E2" s="6">
        <f>'QV en TO ronde 1'!O29</f>
        <v>2609.375</v>
      </c>
      <c r="F2" s="7">
        <f>'QV en TO ronde 1'!P29</f>
        <v>2609.375</v>
      </c>
      <c r="G2" s="7">
        <f>'QV en TO ronde 1'!Q29</f>
        <v>2609.375</v>
      </c>
      <c r="I2" s="14">
        <v>1</v>
      </c>
      <c r="J2" s="40">
        <f>'QV en TO ronde 1'!B6</f>
        <v>6</v>
      </c>
      <c r="L2" s="41">
        <v>1</v>
      </c>
      <c r="M2" s="42">
        <f>'QV en TO ronde 1'!C6</f>
        <v>4</v>
      </c>
      <c r="O2" s="43">
        <v>1</v>
      </c>
      <c r="P2" s="44">
        <f>'QV en TO ronde 1'!D6</f>
        <v>1.5</v>
      </c>
    </row>
    <row r="3" spans="1:26" ht="14.25" customHeight="1">
      <c r="B3" s="6"/>
      <c r="C3" s="6"/>
      <c r="D3" s="6"/>
      <c r="E3" s="6"/>
      <c r="F3" s="7"/>
      <c r="G3" s="7"/>
      <c r="I3" s="14">
        <v>2</v>
      </c>
      <c r="J3" s="40">
        <f>'QV en TO ronde 1'!B7</f>
        <v>6</v>
      </c>
      <c r="L3" s="41">
        <v>2</v>
      </c>
      <c r="M3" s="42">
        <f>'QV en TO ronde 1'!C7</f>
        <v>4</v>
      </c>
      <c r="O3" s="43">
        <v>2</v>
      </c>
      <c r="P3" s="44">
        <f>'QV en TO ronde 1'!D7</f>
        <v>1.5</v>
      </c>
    </row>
    <row r="4" spans="1:26" ht="14.25" customHeight="1">
      <c r="A4" s="1" t="s">
        <v>52</v>
      </c>
      <c r="B4" s="1">
        <f>Capaciteit!C13</f>
        <v>1500</v>
      </c>
      <c r="C4" s="1">
        <f>Capaciteit!D13</f>
        <v>1500</v>
      </c>
      <c r="D4" s="1">
        <f>Capaciteit!E13</f>
        <v>1500</v>
      </c>
      <c r="E4" s="1">
        <f>Capaciteit!F13</f>
        <v>1500</v>
      </c>
      <c r="F4" s="8">
        <f>Capaciteit!G13</f>
        <v>1500</v>
      </c>
      <c r="G4" s="8">
        <f>Capaciteit!H13</f>
        <v>1500</v>
      </c>
      <c r="I4" s="14">
        <v>3</v>
      </c>
      <c r="J4" s="40">
        <f>'QV en TO ronde 1'!B8</f>
        <v>6</v>
      </c>
      <c r="L4" s="41">
        <v>3</v>
      </c>
      <c r="M4" s="42">
        <f>'QV en TO ronde 1'!C8</f>
        <v>4</v>
      </c>
      <c r="O4" s="43">
        <v>3</v>
      </c>
      <c r="P4" s="44">
        <f>'QV en TO ronde 1'!D8</f>
        <v>1.5</v>
      </c>
    </row>
    <row r="5" spans="1:26" ht="14.25" customHeight="1">
      <c r="A5" s="2" t="s">
        <v>53</v>
      </c>
      <c r="B5" s="3">
        <f>'QV en TO ronde 1'!L44</f>
        <v>1500</v>
      </c>
      <c r="C5" s="3">
        <f>'QV en TO ronde 1'!M44</f>
        <v>1500</v>
      </c>
      <c r="D5" s="3">
        <f>'QV en TO ronde 1'!N44</f>
        <v>1500</v>
      </c>
      <c r="E5" s="3">
        <f>'QV en TO ronde 1'!O44</f>
        <v>1500</v>
      </c>
      <c r="F5" s="45">
        <f>'QV en TO ronde 1'!P44</f>
        <v>1500</v>
      </c>
      <c r="G5" s="45">
        <f>'QV en TO ronde 1'!Q44</f>
        <v>1500</v>
      </c>
      <c r="I5" s="14">
        <v>4</v>
      </c>
      <c r="J5" s="40">
        <f>'QV en TO ronde 1'!B9</f>
        <v>6</v>
      </c>
      <c r="L5" s="41">
        <v>4</v>
      </c>
      <c r="M5" s="42">
        <f>'QV en TO ronde 1'!C9</f>
        <v>4</v>
      </c>
      <c r="O5" s="43">
        <v>4</v>
      </c>
      <c r="P5" s="44">
        <f>'QV en TO ronde 1'!D9</f>
        <v>1.5</v>
      </c>
    </row>
    <row r="6" spans="1:26" ht="14.25" customHeight="1">
      <c r="A6" s="1" t="s">
        <v>54</v>
      </c>
      <c r="B6" s="46">
        <f t="shared" ref="B6:G6" si="0">B2/B4</f>
        <v>1.7395833333333333</v>
      </c>
      <c r="C6" s="46">
        <f t="shared" si="0"/>
        <v>1.7395833333333333</v>
      </c>
      <c r="D6" s="46">
        <f t="shared" si="0"/>
        <v>1.7395833333333333</v>
      </c>
      <c r="E6" s="46">
        <f t="shared" si="0"/>
        <v>1.7395833333333333</v>
      </c>
      <c r="F6" s="47">
        <f t="shared" si="0"/>
        <v>1.7395833333333333</v>
      </c>
      <c r="G6" s="47">
        <f t="shared" si="0"/>
        <v>1.7395833333333333</v>
      </c>
      <c r="I6" s="14">
        <v>5</v>
      </c>
      <c r="J6" s="40">
        <f>'QV en TO ronde 1'!B10</f>
        <v>6</v>
      </c>
      <c r="L6" s="41">
        <v>5</v>
      </c>
      <c r="M6" s="42">
        <f>'QV en TO ronde 1'!C10</f>
        <v>4</v>
      </c>
      <c r="O6" s="43">
        <v>5</v>
      </c>
      <c r="P6" s="44">
        <f>'QV en TO ronde 1'!D10</f>
        <v>1.5</v>
      </c>
    </row>
    <row r="7" spans="1:26" ht="14.25" customHeight="1">
      <c r="B7" s="48">
        <f t="shared" ref="B7:G7" si="1">B5/(SUM($B5:$G5))</f>
        <v>0.16666666666666666</v>
      </c>
      <c r="C7" s="48">
        <f t="shared" si="1"/>
        <v>0.16666666666666666</v>
      </c>
      <c r="D7" s="48">
        <f t="shared" si="1"/>
        <v>0.16666666666666666</v>
      </c>
      <c r="E7" s="48">
        <f t="shared" si="1"/>
        <v>0.16666666666666666</v>
      </c>
      <c r="F7" s="48">
        <f t="shared" si="1"/>
        <v>0.16666666666666666</v>
      </c>
      <c r="G7" s="48">
        <f t="shared" si="1"/>
        <v>0.16666666666666666</v>
      </c>
      <c r="I7" s="14">
        <v>6</v>
      </c>
      <c r="J7" s="40">
        <f>'QV en TO ronde 1'!B11</f>
        <v>6</v>
      </c>
      <c r="L7" s="41">
        <v>6</v>
      </c>
      <c r="M7" s="42">
        <f>'QV en TO ronde 1'!C11</f>
        <v>4</v>
      </c>
      <c r="O7" s="43">
        <v>6</v>
      </c>
      <c r="P7" s="44">
        <f>'QV en TO ronde 1'!D11</f>
        <v>1.5</v>
      </c>
    </row>
    <row r="8" spans="1:26" ht="14.25" customHeight="1">
      <c r="B8" s="48">
        <f t="shared" ref="B8:G8" si="2">B9/(SUM($B9:$G9))</f>
        <v>0.16666666666666666</v>
      </c>
      <c r="C8" s="48">
        <f t="shared" si="2"/>
        <v>0.16666666666666666</v>
      </c>
      <c r="D8" s="48">
        <f t="shared" si="2"/>
        <v>0.16666666666666666</v>
      </c>
      <c r="E8" s="48">
        <f t="shared" si="2"/>
        <v>0.16666666666666666</v>
      </c>
      <c r="F8" s="48">
        <f t="shared" si="2"/>
        <v>0.16666666666666666</v>
      </c>
      <c r="G8" s="48">
        <f t="shared" si="2"/>
        <v>0.16666666666666666</v>
      </c>
      <c r="I8" s="37" t="s">
        <v>55</v>
      </c>
      <c r="J8" s="49">
        <f>AVERAGE(J2:J7)</f>
        <v>6</v>
      </c>
      <c r="K8" s="35"/>
      <c r="L8" s="38" t="s">
        <v>55</v>
      </c>
      <c r="M8" s="50">
        <f>AVERAGE(M2:M7)</f>
        <v>4</v>
      </c>
      <c r="N8" s="35"/>
      <c r="O8" s="39" t="s">
        <v>55</v>
      </c>
      <c r="P8" s="51">
        <f>AVERAGE(P2:P7)</f>
        <v>1.5</v>
      </c>
    </row>
    <row r="9" spans="1:26" ht="14.25" customHeight="1">
      <c r="A9" s="2" t="s">
        <v>56</v>
      </c>
      <c r="B9" s="52">
        <f>'QV en TO ronde 1'!L45</f>
        <v>9000</v>
      </c>
      <c r="C9" s="52">
        <f>'QV en TO ronde 1'!M45</f>
        <v>9000</v>
      </c>
      <c r="D9" s="52">
        <f>'QV en TO ronde 1'!N45</f>
        <v>9000</v>
      </c>
      <c r="E9" s="52">
        <f>'QV en TO ronde 1'!O45</f>
        <v>9000</v>
      </c>
      <c r="F9" s="53">
        <f>'QV en TO ronde 1'!P45</f>
        <v>9000</v>
      </c>
      <c r="G9" s="53">
        <f>'QV en TO ronde 1'!Q45</f>
        <v>9000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>
      <c r="A10" s="2" t="s">
        <v>57</v>
      </c>
      <c r="B10" s="52">
        <f t="shared" ref="B10:G10" si="3">1.5*B5</f>
        <v>2250</v>
      </c>
      <c r="C10" s="52">
        <f t="shared" si="3"/>
        <v>2250</v>
      </c>
      <c r="D10" s="52">
        <f t="shared" si="3"/>
        <v>2250</v>
      </c>
      <c r="E10" s="52">
        <f t="shared" si="3"/>
        <v>2250</v>
      </c>
      <c r="F10" s="53">
        <f t="shared" si="3"/>
        <v>2250</v>
      </c>
      <c r="G10" s="53">
        <f t="shared" si="3"/>
        <v>2250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54" t="s">
        <v>58</v>
      </c>
      <c r="B11" s="55">
        <f t="shared" ref="B11:G11" si="4">B9+B10</f>
        <v>11250</v>
      </c>
      <c r="C11" s="55">
        <f t="shared" si="4"/>
        <v>11250</v>
      </c>
      <c r="D11" s="55">
        <f t="shared" si="4"/>
        <v>11250</v>
      </c>
      <c r="E11" s="55">
        <f t="shared" si="4"/>
        <v>11250</v>
      </c>
      <c r="F11" s="56">
        <f t="shared" si="4"/>
        <v>11250</v>
      </c>
      <c r="G11" s="56">
        <f t="shared" si="4"/>
        <v>11250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1" t="s">
        <v>59</v>
      </c>
      <c r="B12" s="57">
        <f>Kosten!E10</f>
        <v>4700</v>
      </c>
      <c r="C12" s="57">
        <f>Kosten!F10</f>
        <v>4700</v>
      </c>
      <c r="D12" s="57">
        <f>Kosten!G10</f>
        <v>4700</v>
      </c>
      <c r="E12" s="57">
        <f>Kosten!H10</f>
        <v>4700</v>
      </c>
      <c r="F12" s="58">
        <f>Kosten!I10</f>
        <v>4700</v>
      </c>
      <c r="G12" s="58">
        <f>Kosten!J10</f>
        <v>4700</v>
      </c>
    </row>
    <row r="13" spans="1:26" ht="14.25" customHeight="1">
      <c r="A13" s="1" t="s">
        <v>60</v>
      </c>
      <c r="B13" s="57">
        <f>Kosten!E11+0.5*B5</f>
        <v>3750</v>
      </c>
      <c r="C13" s="57">
        <f>Kosten!F11+0.5*C5</f>
        <v>3750</v>
      </c>
      <c r="D13" s="57">
        <f>Kosten!G11+0.5*D5</f>
        <v>3750</v>
      </c>
      <c r="E13" s="57">
        <f>Kosten!H11+0.5*E5</f>
        <v>3750</v>
      </c>
      <c r="F13" s="58">
        <f>Kosten!I11+0.5*F5</f>
        <v>3750</v>
      </c>
      <c r="G13" s="58">
        <f>Kosten!J11+0.5*G5</f>
        <v>3750</v>
      </c>
    </row>
    <row r="14" spans="1:26" ht="14.25" customHeight="1">
      <c r="A14" s="59" t="s">
        <v>61</v>
      </c>
      <c r="B14" s="60">
        <f t="shared" ref="B14:G14" si="5">MAX(0,(((B5/3000)-1)/15)*(B12+B13))</f>
        <v>0</v>
      </c>
      <c r="C14" s="60">
        <f t="shared" si="5"/>
        <v>0</v>
      </c>
      <c r="D14" s="60">
        <f t="shared" si="5"/>
        <v>0</v>
      </c>
      <c r="E14" s="60">
        <f t="shared" si="5"/>
        <v>0</v>
      </c>
      <c r="F14" s="60">
        <f t="shared" si="5"/>
        <v>0</v>
      </c>
      <c r="G14" s="60">
        <f t="shared" si="5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 customHeight="1">
      <c r="A15" s="35" t="s">
        <v>62</v>
      </c>
      <c r="B15" s="62">
        <f t="shared" ref="B15:G15" si="6">B12+B13-B14</f>
        <v>8450</v>
      </c>
      <c r="C15" s="62">
        <f t="shared" si="6"/>
        <v>8450</v>
      </c>
      <c r="D15" s="62">
        <f t="shared" si="6"/>
        <v>8450</v>
      </c>
      <c r="E15" s="62">
        <f t="shared" si="6"/>
        <v>8450</v>
      </c>
      <c r="F15" s="63">
        <f t="shared" si="6"/>
        <v>8450</v>
      </c>
      <c r="G15" s="63">
        <f t="shared" si="6"/>
        <v>8450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64" t="s">
        <v>63</v>
      </c>
      <c r="B16" s="65">
        <f t="shared" ref="B16:G16" si="7">B11-B15</f>
        <v>2800</v>
      </c>
      <c r="C16" s="65">
        <f t="shared" si="7"/>
        <v>2800</v>
      </c>
      <c r="D16" s="65">
        <f t="shared" si="7"/>
        <v>2800</v>
      </c>
      <c r="E16" s="65">
        <f t="shared" si="7"/>
        <v>2800</v>
      </c>
      <c r="F16" s="66">
        <f t="shared" si="7"/>
        <v>2800</v>
      </c>
      <c r="G16" s="66">
        <f t="shared" si="7"/>
        <v>2800</v>
      </c>
    </row>
    <row r="17" spans="6:7" ht="14.25" customHeight="1">
      <c r="F17" s="48"/>
      <c r="G17" s="48"/>
    </row>
    <row r="18" spans="6:7" ht="14.25" customHeight="1">
      <c r="F18" s="48"/>
      <c r="G18" s="48"/>
    </row>
    <row r="19" spans="6:7" ht="14.25" customHeight="1">
      <c r="F19" s="48"/>
      <c r="G19" s="48"/>
    </row>
    <row r="20" spans="6:7" ht="14.25" customHeight="1">
      <c r="F20" s="48"/>
      <c r="G20" s="48"/>
    </row>
    <row r="21" spans="6:7" ht="14.25" customHeight="1">
      <c r="F21" s="48"/>
      <c r="G21" s="48"/>
    </row>
    <row r="22" spans="6:7" ht="14.25" customHeight="1">
      <c r="F22" s="48"/>
      <c r="G22" s="48"/>
    </row>
    <row r="23" spans="6:7" ht="14.25" customHeight="1">
      <c r="F23" s="48"/>
      <c r="G23" s="48"/>
    </row>
    <row r="24" spans="6:7" ht="14.25" customHeight="1">
      <c r="F24" s="48"/>
      <c r="G24" s="48"/>
    </row>
    <row r="25" spans="6:7" ht="14.25" customHeight="1">
      <c r="F25" s="48"/>
      <c r="G25" s="48"/>
    </row>
    <row r="26" spans="6:7" ht="14.25" customHeight="1">
      <c r="F26" s="48"/>
      <c r="G26" s="48"/>
    </row>
    <row r="27" spans="6:7" ht="14.25" customHeight="1">
      <c r="F27" s="48"/>
      <c r="G27" s="48"/>
    </row>
    <row r="28" spans="6:7" ht="14.25" customHeight="1">
      <c r="F28" s="48"/>
      <c r="G28" s="48"/>
    </row>
    <row r="29" spans="6:7" ht="14.25" customHeight="1">
      <c r="F29" s="48"/>
      <c r="G29" s="48"/>
    </row>
    <row r="30" spans="6:7" ht="14.25" customHeight="1">
      <c r="F30" s="48"/>
      <c r="G30" s="48"/>
    </row>
    <row r="31" spans="6:7" ht="14.25" customHeight="1">
      <c r="F31" s="48"/>
      <c r="G31" s="48"/>
    </row>
    <row r="32" spans="6:7" ht="14.25" customHeight="1">
      <c r="F32" s="48"/>
      <c r="G32" s="48"/>
    </row>
    <row r="33" spans="6:7" ht="14.25" customHeight="1">
      <c r="F33" s="48"/>
      <c r="G33" s="48"/>
    </row>
    <row r="34" spans="6:7" ht="14.25" customHeight="1">
      <c r="F34" s="48"/>
      <c r="G34" s="48"/>
    </row>
    <row r="35" spans="6:7" ht="14.25" customHeight="1">
      <c r="F35" s="48"/>
      <c r="G35" s="48"/>
    </row>
    <row r="36" spans="6:7" ht="14.25" customHeight="1">
      <c r="F36" s="48"/>
      <c r="G36" s="48"/>
    </row>
    <row r="37" spans="6:7" ht="14.25" customHeight="1">
      <c r="F37" s="48"/>
      <c r="G37" s="48"/>
    </row>
    <row r="38" spans="6:7" ht="14.25" customHeight="1">
      <c r="F38" s="48"/>
      <c r="G38" s="48"/>
    </row>
    <row r="39" spans="6:7" ht="14.25" customHeight="1">
      <c r="F39" s="48"/>
      <c r="G39" s="48"/>
    </row>
    <row r="40" spans="6:7" ht="14.25" customHeight="1">
      <c r="F40" s="48"/>
      <c r="G40" s="48"/>
    </row>
    <row r="41" spans="6:7" ht="14.25" customHeight="1">
      <c r="F41" s="48"/>
      <c r="G41" s="48"/>
    </row>
    <row r="42" spans="6:7" ht="14.25" customHeight="1">
      <c r="F42" s="48"/>
      <c r="G42" s="48"/>
    </row>
    <row r="43" spans="6:7" ht="14.25" customHeight="1">
      <c r="F43" s="48"/>
      <c r="G43" s="48"/>
    </row>
    <row r="44" spans="6:7" ht="14.25" customHeight="1">
      <c r="F44" s="48"/>
      <c r="G44" s="48"/>
    </row>
    <row r="45" spans="6:7" ht="14.25" customHeight="1">
      <c r="F45" s="48"/>
      <c r="G45" s="48"/>
    </row>
    <row r="46" spans="6:7" ht="14.25" customHeight="1">
      <c r="F46" s="48"/>
      <c r="G46" s="48"/>
    </row>
    <row r="47" spans="6:7" ht="14.25" customHeight="1">
      <c r="F47" s="48"/>
      <c r="G47" s="48"/>
    </row>
    <row r="48" spans="6:7" ht="14.25" customHeight="1">
      <c r="F48" s="48"/>
      <c r="G48" s="48"/>
    </row>
    <row r="49" spans="6:7" ht="14.25" customHeight="1">
      <c r="F49" s="48"/>
      <c r="G49" s="48"/>
    </row>
    <row r="50" spans="6:7" ht="14.25" customHeight="1">
      <c r="F50" s="48"/>
      <c r="G50" s="48"/>
    </row>
    <row r="51" spans="6:7" ht="14.25" customHeight="1">
      <c r="F51" s="48"/>
      <c r="G51" s="48"/>
    </row>
    <row r="52" spans="6:7" ht="14.25" customHeight="1">
      <c r="F52" s="48"/>
      <c r="G52" s="48"/>
    </row>
    <row r="53" spans="6:7" ht="14.25" customHeight="1">
      <c r="F53" s="48"/>
      <c r="G53" s="48"/>
    </row>
    <row r="54" spans="6:7" ht="14.25" customHeight="1">
      <c r="F54" s="48"/>
      <c r="G54" s="48"/>
    </row>
    <row r="55" spans="6:7" ht="14.25" customHeight="1">
      <c r="F55" s="48"/>
      <c r="G55" s="48"/>
    </row>
    <row r="56" spans="6:7" ht="14.25" customHeight="1">
      <c r="F56" s="48"/>
      <c r="G56" s="48"/>
    </row>
    <row r="57" spans="6:7" ht="14.25" customHeight="1">
      <c r="F57" s="48"/>
      <c r="G57" s="48"/>
    </row>
    <row r="58" spans="6:7" ht="14.25" customHeight="1">
      <c r="F58" s="48"/>
      <c r="G58" s="48"/>
    </row>
    <row r="59" spans="6:7" ht="14.25" customHeight="1">
      <c r="F59" s="48"/>
      <c r="G59" s="48"/>
    </row>
    <row r="60" spans="6:7" ht="14.25" customHeight="1">
      <c r="F60" s="48"/>
      <c r="G60" s="48"/>
    </row>
    <row r="61" spans="6:7" ht="14.25" customHeight="1">
      <c r="F61" s="48"/>
      <c r="G61" s="48"/>
    </row>
    <row r="62" spans="6:7" ht="14.25" customHeight="1">
      <c r="F62" s="48"/>
      <c r="G62" s="48"/>
    </row>
    <row r="63" spans="6:7" ht="14.25" customHeight="1">
      <c r="F63" s="48"/>
      <c r="G63" s="48"/>
    </row>
    <row r="64" spans="6:7" ht="14.25" customHeight="1">
      <c r="F64" s="48"/>
      <c r="G64" s="48"/>
    </row>
    <row r="65" spans="6:7" ht="14.25" customHeight="1">
      <c r="F65" s="48"/>
      <c r="G65" s="48"/>
    </row>
    <row r="66" spans="6:7" ht="14.25" customHeight="1">
      <c r="F66" s="48"/>
      <c r="G66" s="48"/>
    </row>
    <row r="67" spans="6:7" ht="14.25" customHeight="1">
      <c r="F67" s="48"/>
      <c r="G67" s="48"/>
    </row>
    <row r="68" spans="6:7" ht="14.25" customHeight="1">
      <c r="F68" s="48"/>
      <c r="G68" s="48"/>
    </row>
    <row r="69" spans="6:7" ht="14.25" customHeight="1">
      <c r="F69" s="48"/>
      <c r="G69" s="48"/>
    </row>
    <row r="70" spans="6:7" ht="14.25" customHeight="1">
      <c r="F70" s="48"/>
      <c r="G70" s="48"/>
    </row>
    <row r="71" spans="6:7" ht="14.25" customHeight="1">
      <c r="F71" s="48"/>
      <c r="G71" s="48"/>
    </row>
    <row r="72" spans="6:7" ht="14.25" customHeight="1">
      <c r="F72" s="48"/>
      <c r="G72" s="48"/>
    </row>
    <row r="73" spans="6:7" ht="14.25" customHeight="1">
      <c r="F73" s="48"/>
      <c r="G73" s="48"/>
    </row>
    <row r="74" spans="6:7" ht="14.25" customHeight="1">
      <c r="F74" s="48"/>
      <c r="G74" s="48"/>
    </row>
    <row r="75" spans="6:7" ht="14.25" customHeight="1">
      <c r="F75" s="48"/>
      <c r="G75" s="48"/>
    </row>
    <row r="76" spans="6:7" ht="14.25" customHeight="1">
      <c r="F76" s="48"/>
      <c r="G76" s="48"/>
    </row>
    <row r="77" spans="6:7" ht="14.25" customHeight="1">
      <c r="F77" s="48"/>
      <c r="G77" s="48"/>
    </row>
    <row r="78" spans="6:7" ht="14.25" customHeight="1">
      <c r="F78" s="48"/>
      <c r="G78" s="48"/>
    </row>
    <row r="79" spans="6:7" ht="14.25" customHeight="1">
      <c r="F79" s="48"/>
      <c r="G79" s="48"/>
    </row>
    <row r="80" spans="6:7" ht="14.25" customHeight="1">
      <c r="F80" s="48"/>
      <c r="G80" s="48"/>
    </row>
    <row r="81" spans="6:7" ht="14.25" customHeight="1">
      <c r="F81" s="48"/>
      <c r="G81" s="48"/>
    </row>
    <row r="82" spans="6:7" ht="14.25" customHeight="1">
      <c r="F82" s="48"/>
      <c r="G82" s="48"/>
    </row>
    <row r="83" spans="6:7" ht="14.25" customHeight="1">
      <c r="F83" s="48"/>
      <c r="G83" s="48"/>
    </row>
    <row r="84" spans="6:7" ht="14.25" customHeight="1">
      <c r="F84" s="48"/>
      <c r="G84" s="48"/>
    </row>
    <row r="85" spans="6:7" ht="14.25" customHeight="1">
      <c r="F85" s="48"/>
      <c r="G85" s="48"/>
    </row>
    <row r="86" spans="6:7" ht="14.25" customHeight="1">
      <c r="F86" s="48"/>
      <c r="G86" s="48"/>
    </row>
    <row r="87" spans="6:7" ht="14.25" customHeight="1">
      <c r="F87" s="48"/>
      <c r="G87" s="48"/>
    </row>
    <row r="88" spans="6:7" ht="14.25" customHeight="1">
      <c r="F88" s="48"/>
      <c r="G88" s="48"/>
    </row>
    <row r="89" spans="6:7" ht="14.25" customHeight="1">
      <c r="F89" s="48"/>
      <c r="G89" s="48"/>
    </row>
    <row r="90" spans="6:7" ht="14.25" customHeight="1">
      <c r="F90" s="48"/>
      <c r="G90" s="48"/>
    </row>
    <row r="91" spans="6:7" ht="14.25" customHeight="1">
      <c r="F91" s="48"/>
      <c r="G91" s="48"/>
    </row>
    <row r="92" spans="6:7" ht="14.25" customHeight="1">
      <c r="F92" s="48"/>
      <c r="G92" s="48"/>
    </row>
    <row r="93" spans="6:7" ht="14.25" customHeight="1">
      <c r="F93" s="48"/>
      <c r="G93" s="48"/>
    </row>
    <row r="94" spans="6:7" ht="14.25" customHeight="1">
      <c r="F94" s="48"/>
      <c r="G94" s="48"/>
    </row>
    <row r="95" spans="6:7" ht="14.25" customHeight="1">
      <c r="F95" s="48"/>
      <c r="G95" s="48"/>
    </row>
    <row r="96" spans="6:7" ht="14.25" customHeight="1">
      <c r="F96" s="48"/>
      <c r="G96" s="48"/>
    </row>
    <row r="97" spans="6:7" ht="14.25" customHeight="1">
      <c r="F97" s="48"/>
      <c r="G97" s="48"/>
    </row>
    <row r="98" spans="6:7" ht="14.25" customHeight="1">
      <c r="F98" s="48"/>
      <c r="G98" s="48"/>
    </row>
    <row r="99" spans="6:7" ht="14.25" customHeight="1">
      <c r="F99" s="48"/>
      <c r="G99" s="48"/>
    </row>
    <row r="100" spans="6:7" ht="14.25" customHeight="1">
      <c r="F100" s="48"/>
      <c r="G100" s="48"/>
    </row>
    <row r="101" spans="6:7" ht="14.25" customHeight="1">
      <c r="F101" s="48"/>
      <c r="G101" s="48"/>
    </row>
    <row r="102" spans="6:7" ht="14.25" customHeight="1">
      <c r="F102" s="48"/>
      <c r="G102" s="48"/>
    </row>
    <row r="103" spans="6:7" ht="14.25" customHeight="1">
      <c r="F103" s="48"/>
      <c r="G103" s="48"/>
    </row>
    <row r="104" spans="6:7" ht="14.25" customHeight="1">
      <c r="F104" s="48"/>
      <c r="G104" s="48"/>
    </row>
    <row r="105" spans="6:7" ht="14.25" customHeight="1">
      <c r="F105" s="48"/>
      <c r="G105" s="48"/>
    </row>
    <row r="106" spans="6:7" ht="14.25" customHeight="1">
      <c r="F106" s="48"/>
      <c r="G106" s="48"/>
    </row>
    <row r="107" spans="6:7" ht="14.25" customHeight="1">
      <c r="F107" s="48"/>
      <c r="G107" s="48"/>
    </row>
    <row r="108" spans="6:7" ht="14.25" customHeight="1">
      <c r="F108" s="48"/>
      <c r="G108" s="48"/>
    </row>
    <row r="109" spans="6:7" ht="14.25" customHeight="1">
      <c r="F109" s="48"/>
      <c r="G109" s="48"/>
    </row>
    <row r="110" spans="6:7" ht="14.25" customHeight="1">
      <c r="F110" s="48"/>
      <c r="G110" s="48"/>
    </row>
    <row r="111" spans="6:7" ht="14.25" customHeight="1">
      <c r="F111" s="48"/>
      <c r="G111" s="48"/>
    </row>
    <row r="112" spans="6:7" ht="14.25" customHeight="1">
      <c r="F112" s="48"/>
      <c r="G112" s="48"/>
    </row>
    <row r="113" spans="6:7" ht="14.25" customHeight="1">
      <c r="F113" s="48"/>
      <c r="G113" s="48"/>
    </row>
    <row r="114" spans="6:7" ht="14.25" customHeight="1">
      <c r="F114" s="48"/>
      <c r="G114" s="48"/>
    </row>
    <row r="115" spans="6:7" ht="14.25" customHeight="1">
      <c r="F115" s="48"/>
      <c r="G115" s="48"/>
    </row>
    <row r="116" spans="6:7" ht="14.25" customHeight="1">
      <c r="F116" s="48"/>
      <c r="G116" s="48"/>
    </row>
    <row r="117" spans="6:7" ht="14.25" customHeight="1">
      <c r="F117" s="48"/>
      <c r="G117" s="48"/>
    </row>
    <row r="118" spans="6:7" ht="14.25" customHeight="1">
      <c r="F118" s="48"/>
      <c r="G118" s="48"/>
    </row>
    <row r="119" spans="6:7" ht="14.25" customHeight="1">
      <c r="F119" s="48"/>
      <c r="G119" s="48"/>
    </row>
    <row r="120" spans="6:7" ht="14.25" customHeight="1">
      <c r="F120" s="48"/>
      <c r="G120" s="48"/>
    </row>
    <row r="121" spans="6:7" ht="14.25" customHeight="1">
      <c r="F121" s="48"/>
      <c r="G121" s="48"/>
    </row>
    <row r="122" spans="6:7" ht="14.25" customHeight="1">
      <c r="F122" s="48"/>
      <c r="G122" s="48"/>
    </row>
    <row r="123" spans="6:7" ht="14.25" customHeight="1">
      <c r="F123" s="48"/>
      <c r="G123" s="48"/>
    </row>
    <row r="124" spans="6:7" ht="14.25" customHeight="1">
      <c r="F124" s="48"/>
      <c r="G124" s="48"/>
    </row>
    <row r="125" spans="6:7" ht="14.25" customHeight="1">
      <c r="F125" s="48"/>
      <c r="G125" s="48"/>
    </row>
    <row r="126" spans="6:7" ht="14.25" customHeight="1">
      <c r="F126" s="48"/>
      <c r="G126" s="48"/>
    </row>
    <row r="127" spans="6:7" ht="14.25" customHeight="1">
      <c r="F127" s="48"/>
      <c r="G127" s="48"/>
    </row>
    <row r="128" spans="6:7" ht="14.25" customHeight="1">
      <c r="F128" s="48"/>
      <c r="G128" s="48"/>
    </row>
    <row r="129" spans="6:7" ht="14.25" customHeight="1">
      <c r="F129" s="48"/>
      <c r="G129" s="48"/>
    </row>
    <row r="130" spans="6:7" ht="14.25" customHeight="1">
      <c r="F130" s="48"/>
      <c r="G130" s="48"/>
    </row>
    <row r="131" spans="6:7" ht="14.25" customHeight="1">
      <c r="F131" s="48"/>
      <c r="G131" s="48"/>
    </row>
    <row r="132" spans="6:7" ht="14.25" customHeight="1">
      <c r="F132" s="48"/>
      <c r="G132" s="48"/>
    </row>
    <row r="133" spans="6:7" ht="14.25" customHeight="1">
      <c r="F133" s="48"/>
      <c r="G133" s="48"/>
    </row>
    <row r="134" spans="6:7" ht="14.25" customHeight="1">
      <c r="F134" s="48"/>
      <c r="G134" s="48"/>
    </row>
    <row r="135" spans="6:7" ht="14.25" customHeight="1">
      <c r="F135" s="48"/>
      <c r="G135" s="48"/>
    </row>
    <row r="136" spans="6:7" ht="14.25" customHeight="1">
      <c r="F136" s="48"/>
      <c r="G136" s="48"/>
    </row>
    <row r="137" spans="6:7" ht="14.25" customHeight="1">
      <c r="F137" s="48"/>
      <c r="G137" s="48"/>
    </row>
    <row r="138" spans="6:7" ht="14.25" customHeight="1">
      <c r="F138" s="48"/>
      <c r="G138" s="48"/>
    </row>
    <row r="139" spans="6:7" ht="14.25" customHeight="1">
      <c r="F139" s="48"/>
      <c r="G139" s="48"/>
    </row>
    <row r="140" spans="6:7" ht="14.25" customHeight="1">
      <c r="F140" s="48"/>
      <c r="G140" s="48"/>
    </row>
    <row r="141" spans="6:7" ht="14.25" customHeight="1">
      <c r="F141" s="48"/>
      <c r="G141" s="48"/>
    </row>
    <row r="142" spans="6:7" ht="14.25" customHeight="1">
      <c r="F142" s="48"/>
      <c r="G142" s="48"/>
    </row>
    <row r="143" spans="6:7" ht="14.25" customHeight="1">
      <c r="F143" s="48"/>
      <c r="G143" s="48"/>
    </row>
    <row r="144" spans="6:7" ht="14.25" customHeight="1">
      <c r="F144" s="48"/>
      <c r="G144" s="48"/>
    </row>
    <row r="145" spans="6:7" ht="14.25" customHeight="1">
      <c r="F145" s="48"/>
      <c r="G145" s="48"/>
    </row>
    <row r="146" spans="6:7" ht="14.25" customHeight="1">
      <c r="F146" s="48"/>
      <c r="G146" s="48"/>
    </row>
    <row r="147" spans="6:7" ht="14.25" customHeight="1">
      <c r="F147" s="48"/>
      <c r="G147" s="48"/>
    </row>
    <row r="148" spans="6:7" ht="14.25" customHeight="1">
      <c r="F148" s="48"/>
      <c r="G148" s="48"/>
    </row>
    <row r="149" spans="6:7" ht="14.25" customHeight="1">
      <c r="F149" s="48"/>
      <c r="G149" s="48"/>
    </row>
    <row r="150" spans="6:7" ht="14.25" customHeight="1">
      <c r="F150" s="48"/>
      <c r="G150" s="48"/>
    </row>
    <row r="151" spans="6:7" ht="14.25" customHeight="1">
      <c r="F151" s="48"/>
      <c r="G151" s="48"/>
    </row>
    <row r="152" spans="6:7" ht="14.25" customHeight="1">
      <c r="F152" s="48"/>
      <c r="G152" s="48"/>
    </row>
    <row r="153" spans="6:7" ht="14.25" customHeight="1">
      <c r="F153" s="48"/>
      <c r="G153" s="48"/>
    </row>
    <row r="154" spans="6:7" ht="14.25" customHeight="1">
      <c r="F154" s="48"/>
      <c r="G154" s="48"/>
    </row>
    <row r="155" spans="6:7" ht="14.25" customHeight="1">
      <c r="F155" s="48"/>
      <c r="G155" s="48"/>
    </row>
    <row r="156" spans="6:7" ht="14.25" customHeight="1">
      <c r="F156" s="48"/>
      <c r="G156" s="48"/>
    </row>
    <row r="157" spans="6:7" ht="14.25" customHeight="1">
      <c r="F157" s="48"/>
      <c r="G157" s="48"/>
    </row>
    <row r="158" spans="6:7" ht="14.25" customHeight="1">
      <c r="F158" s="48"/>
      <c r="G158" s="48"/>
    </row>
    <row r="159" spans="6:7" ht="14.25" customHeight="1">
      <c r="F159" s="48"/>
      <c r="G159" s="48"/>
    </row>
    <row r="160" spans="6:7" ht="14.25" customHeight="1">
      <c r="F160" s="48"/>
      <c r="G160" s="48"/>
    </row>
    <row r="161" spans="6:7" ht="14.25" customHeight="1">
      <c r="F161" s="48"/>
      <c r="G161" s="48"/>
    </row>
    <row r="162" spans="6:7" ht="14.25" customHeight="1">
      <c r="F162" s="48"/>
      <c r="G162" s="48"/>
    </row>
    <row r="163" spans="6:7" ht="14.25" customHeight="1">
      <c r="F163" s="48"/>
      <c r="G163" s="48"/>
    </row>
    <row r="164" spans="6:7" ht="14.25" customHeight="1">
      <c r="F164" s="48"/>
      <c r="G164" s="48"/>
    </row>
    <row r="165" spans="6:7" ht="14.25" customHeight="1">
      <c r="F165" s="48"/>
      <c r="G165" s="48"/>
    </row>
    <row r="166" spans="6:7" ht="14.25" customHeight="1">
      <c r="F166" s="48"/>
      <c r="G166" s="48"/>
    </row>
    <row r="167" spans="6:7" ht="14.25" customHeight="1">
      <c r="F167" s="48"/>
      <c r="G167" s="48"/>
    </row>
    <row r="168" spans="6:7" ht="14.25" customHeight="1">
      <c r="F168" s="48"/>
      <c r="G168" s="48"/>
    </row>
    <row r="169" spans="6:7" ht="14.25" customHeight="1">
      <c r="F169" s="48"/>
      <c r="G169" s="48"/>
    </row>
    <row r="170" spans="6:7" ht="14.25" customHeight="1">
      <c r="F170" s="48"/>
      <c r="G170" s="48"/>
    </row>
    <row r="171" spans="6:7" ht="14.25" customHeight="1">
      <c r="F171" s="48"/>
      <c r="G171" s="48"/>
    </row>
    <row r="172" spans="6:7" ht="14.25" customHeight="1">
      <c r="F172" s="48"/>
      <c r="G172" s="48"/>
    </row>
    <row r="173" spans="6:7" ht="14.25" customHeight="1">
      <c r="F173" s="48"/>
      <c r="G173" s="48"/>
    </row>
    <row r="174" spans="6:7" ht="14.25" customHeight="1">
      <c r="F174" s="48"/>
      <c r="G174" s="48"/>
    </row>
    <row r="175" spans="6:7" ht="14.25" customHeight="1">
      <c r="F175" s="48"/>
      <c r="G175" s="48"/>
    </row>
    <row r="176" spans="6:7" ht="14.25" customHeight="1">
      <c r="F176" s="48"/>
      <c r="G176" s="48"/>
    </row>
    <row r="177" spans="6:7" ht="14.25" customHeight="1">
      <c r="F177" s="48"/>
      <c r="G177" s="48"/>
    </row>
    <row r="178" spans="6:7" ht="14.25" customHeight="1">
      <c r="F178" s="48"/>
      <c r="G178" s="48"/>
    </row>
    <row r="179" spans="6:7" ht="14.25" customHeight="1">
      <c r="F179" s="48"/>
      <c r="G179" s="48"/>
    </row>
    <row r="180" spans="6:7" ht="14.25" customHeight="1">
      <c r="F180" s="48"/>
      <c r="G180" s="48"/>
    </row>
    <row r="181" spans="6:7" ht="14.25" customHeight="1">
      <c r="F181" s="48"/>
      <c r="G181" s="48"/>
    </row>
    <row r="182" spans="6:7" ht="14.25" customHeight="1">
      <c r="F182" s="48"/>
      <c r="G182" s="48"/>
    </row>
    <row r="183" spans="6:7" ht="14.25" customHeight="1">
      <c r="F183" s="48"/>
      <c r="G183" s="48"/>
    </row>
    <row r="184" spans="6:7" ht="14.25" customHeight="1">
      <c r="F184" s="48"/>
      <c r="G184" s="48"/>
    </row>
    <row r="185" spans="6:7" ht="14.25" customHeight="1">
      <c r="F185" s="48"/>
      <c r="G185" s="48"/>
    </row>
    <row r="186" spans="6:7" ht="14.25" customHeight="1">
      <c r="F186" s="48"/>
      <c r="G186" s="48"/>
    </row>
    <row r="187" spans="6:7" ht="14.25" customHeight="1">
      <c r="F187" s="48"/>
      <c r="G187" s="48"/>
    </row>
    <row r="188" spans="6:7" ht="14.25" customHeight="1">
      <c r="F188" s="48"/>
      <c r="G188" s="48"/>
    </row>
    <row r="189" spans="6:7" ht="14.25" customHeight="1">
      <c r="F189" s="48"/>
      <c r="G189" s="48"/>
    </row>
    <row r="190" spans="6:7" ht="14.25" customHeight="1">
      <c r="F190" s="48"/>
      <c r="G190" s="48"/>
    </row>
    <row r="191" spans="6:7" ht="14.25" customHeight="1">
      <c r="F191" s="48"/>
      <c r="G191" s="48"/>
    </row>
    <row r="192" spans="6:7" ht="14.25" customHeight="1">
      <c r="F192" s="48"/>
      <c r="G192" s="48"/>
    </row>
    <row r="193" spans="6:7" ht="14.25" customHeight="1">
      <c r="F193" s="48"/>
      <c r="G193" s="48"/>
    </row>
    <row r="194" spans="6:7" ht="14.25" customHeight="1">
      <c r="F194" s="48"/>
      <c r="G194" s="48"/>
    </row>
    <row r="195" spans="6:7" ht="14.25" customHeight="1">
      <c r="F195" s="48"/>
      <c r="G195" s="48"/>
    </row>
    <row r="196" spans="6:7" ht="14.25" customHeight="1">
      <c r="F196" s="48"/>
      <c r="G196" s="48"/>
    </row>
    <row r="197" spans="6:7" ht="14.25" customHeight="1">
      <c r="F197" s="48"/>
      <c r="G197" s="48"/>
    </row>
    <row r="198" spans="6:7" ht="14.25" customHeight="1">
      <c r="F198" s="48"/>
      <c r="G198" s="48"/>
    </row>
    <row r="199" spans="6:7" ht="14.25" customHeight="1">
      <c r="F199" s="48"/>
      <c r="G199" s="48"/>
    </row>
    <row r="200" spans="6:7" ht="14.25" customHeight="1">
      <c r="F200" s="48"/>
      <c r="G200" s="48"/>
    </row>
    <row r="201" spans="6:7" ht="14.25" customHeight="1">
      <c r="F201" s="48"/>
      <c r="G201" s="48"/>
    </row>
    <row r="202" spans="6:7" ht="14.25" customHeight="1">
      <c r="F202" s="48"/>
      <c r="G202" s="48"/>
    </row>
    <row r="203" spans="6:7" ht="14.25" customHeight="1">
      <c r="F203" s="48"/>
      <c r="G203" s="48"/>
    </row>
    <row r="204" spans="6:7" ht="14.25" customHeight="1">
      <c r="F204" s="48"/>
      <c r="G204" s="48"/>
    </row>
    <row r="205" spans="6:7" ht="14.25" customHeight="1">
      <c r="F205" s="48"/>
      <c r="G205" s="48"/>
    </row>
    <row r="206" spans="6:7" ht="14.25" customHeight="1">
      <c r="F206" s="48"/>
      <c r="G206" s="48"/>
    </row>
    <row r="207" spans="6:7" ht="14.25" customHeight="1">
      <c r="F207" s="48"/>
      <c r="G207" s="48"/>
    </row>
    <row r="208" spans="6:7" ht="14.25" customHeight="1">
      <c r="F208" s="48"/>
      <c r="G208" s="48"/>
    </row>
    <row r="209" spans="6:7" ht="14.25" customHeight="1">
      <c r="F209" s="48"/>
      <c r="G209" s="48"/>
    </row>
    <row r="210" spans="6:7" ht="14.25" customHeight="1">
      <c r="F210" s="48"/>
      <c r="G210" s="48"/>
    </row>
    <row r="211" spans="6:7" ht="14.25" customHeight="1">
      <c r="F211" s="48"/>
      <c r="G211" s="48"/>
    </row>
    <row r="212" spans="6:7" ht="14.25" customHeight="1">
      <c r="F212" s="48"/>
      <c r="G212" s="48"/>
    </row>
    <row r="213" spans="6:7" ht="14.25" customHeight="1">
      <c r="F213" s="48"/>
      <c r="G213" s="48"/>
    </row>
    <row r="214" spans="6:7" ht="14.25" customHeight="1">
      <c r="F214" s="48"/>
      <c r="G214" s="48"/>
    </row>
    <row r="215" spans="6:7" ht="14.25" customHeight="1">
      <c r="F215" s="48"/>
      <c r="G215" s="48"/>
    </row>
    <row r="216" spans="6:7" ht="14.25" customHeight="1">
      <c r="F216" s="48"/>
      <c r="G216" s="48"/>
    </row>
    <row r="217" spans="6:7" ht="14.25" customHeight="1">
      <c r="F217" s="48"/>
      <c r="G217" s="48"/>
    </row>
    <row r="218" spans="6:7" ht="14.25" customHeight="1">
      <c r="F218" s="48"/>
      <c r="G218" s="48"/>
    </row>
    <row r="219" spans="6:7" ht="14.25" customHeight="1">
      <c r="F219" s="48"/>
      <c r="G219" s="48"/>
    </row>
    <row r="220" spans="6:7" ht="14.25" customHeight="1">
      <c r="F220" s="48"/>
      <c r="G220" s="48"/>
    </row>
    <row r="221" spans="6:7" ht="14.25" customHeight="1">
      <c r="F221" s="48"/>
      <c r="G221" s="48"/>
    </row>
    <row r="222" spans="6:7" ht="14.25" customHeight="1">
      <c r="F222" s="48"/>
      <c r="G222" s="48"/>
    </row>
    <row r="223" spans="6:7" ht="14.25" customHeight="1">
      <c r="F223" s="48"/>
      <c r="G223" s="48"/>
    </row>
    <row r="224" spans="6:7" ht="14.25" customHeight="1">
      <c r="F224" s="48"/>
      <c r="G224" s="48"/>
    </row>
    <row r="225" spans="6:7" ht="14.25" customHeight="1">
      <c r="F225" s="48"/>
      <c r="G225" s="48"/>
    </row>
    <row r="226" spans="6:7" ht="14.25" customHeight="1">
      <c r="F226" s="48"/>
      <c r="G226" s="48"/>
    </row>
    <row r="227" spans="6:7" ht="14.25" customHeight="1">
      <c r="F227" s="48"/>
      <c r="G227" s="48"/>
    </row>
    <row r="228" spans="6:7" ht="14.25" customHeight="1">
      <c r="F228" s="48"/>
      <c r="G228" s="48"/>
    </row>
    <row r="229" spans="6:7" ht="14.25" customHeight="1">
      <c r="F229" s="48"/>
      <c r="G229" s="48"/>
    </row>
    <row r="230" spans="6:7" ht="14.25" customHeight="1">
      <c r="F230" s="48"/>
      <c r="G230" s="48"/>
    </row>
    <row r="231" spans="6:7" ht="14.25" customHeight="1">
      <c r="F231" s="48"/>
      <c r="G231" s="48"/>
    </row>
    <row r="232" spans="6:7" ht="14.25" customHeight="1">
      <c r="F232" s="48"/>
      <c r="G232" s="48"/>
    </row>
    <row r="233" spans="6:7" ht="14.25" customHeight="1">
      <c r="F233" s="48"/>
      <c r="G233" s="48"/>
    </row>
    <row r="234" spans="6:7" ht="14.25" customHeight="1">
      <c r="F234" s="48"/>
      <c r="G234" s="48"/>
    </row>
    <row r="235" spans="6:7" ht="14.25" customHeight="1">
      <c r="F235" s="48"/>
      <c r="G235" s="48"/>
    </row>
    <row r="236" spans="6:7" ht="14.25" customHeight="1">
      <c r="F236" s="48"/>
      <c r="G236" s="48"/>
    </row>
    <row r="237" spans="6:7" ht="14.25" customHeight="1">
      <c r="F237" s="48"/>
      <c r="G237" s="48"/>
    </row>
    <row r="238" spans="6:7" ht="14.25" customHeight="1">
      <c r="F238" s="48"/>
      <c r="G238" s="48"/>
    </row>
    <row r="239" spans="6:7" ht="14.25" customHeight="1">
      <c r="F239" s="48"/>
      <c r="G239" s="48"/>
    </row>
    <row r="240" spans="6:7" ht="14.25" customHeight="1">
      <c r="F240" s="48"/>
      <c r="G240" s="48"/>
    </row>
    <row r="241" spans="6:7" ht="14.25" customHeight="1">
      <c r="F241" s="48"/>
      <c r="G241" s="48"/>
    </row>
    <row r="242" spans="6:7" ht="14.25" customHeight="1">
      <c r="F242" s="48"/>
      <c r="G242" s="48"/>
    </row>
    <row r="243" spans="6:7" ht="14.25" customHeight="1">
      <c r="F243" s="48"/>
      <c r="G243" s="48"/>
    </row>
    <row r="244" spans="6:7" ht="14.25" customHeight="1">
      <c r="F244" s="48"/>
      <c r="G244" s="48"/>
    </row>
    <row r="245" spans="6:7" ht="14.25" customHeight="1">
      <c r="F245" s="48"/>
      <c r="G245" s="48"/>
    </row>
    <row r="246" spans="6:7" ht="14.25" customHeight="1">
      <c r="F246" s="48"/>
      <c r="G246" s="48"/>
    </row>
    <row r="247" spans="6:7" ht="14.25" customHeight="1">
      <c r="F247" s="48"/>
      <c r="G247" s="48"/>
    </row>
    <row r="248" spans="6:7" ht="14.25" customHeight="1">
      <c r="F248" s="48"/>
      <c r="G248" s="48"/>
    </row>
    <row r="249" spans="6:7" ht="14.25" customHeight="1">
      <c r="F249" s="48"/>
      <c r="G249" s="48"/>
    </row>
    <row r="250" spans="6:7" ht="14.25" customHeight="1">
      <c r="F250" s="48"/>
      <c r="G250" s="48"/>
    </row>
    <row r="251" spans="6:7" ht="14.25" customHeight="1">
      <c r="F251" s="48"/>
      <c r="G251" s="48"/>
    </row>
    <row r="252" spans="6:7" ht="14.25" customHeight="1">
      <c r="F252" s="48"/>
      <c r="G252" s="48"/>
    </row>
    <row r="253" spans="6:7" ht="14.25" customHeight="1">
      <c r="F253" s="48"/>
      <c r="G253" s="48"/>
    </row>
    <row r="254" spans="6:7" ht="14.25" customHeight="1">
      <c r="F254" s="48"/>
      <c r="G254" s="48"/>
    </row>
    <row r="255" spans="6:7" ht="14.25" customHeight="1">
      <c r="F255" s="48"/>
      <c r="G255" s="48"/>
    </row>
    <row r="256" spans="6:7" ht="14.25" customHeight="1">
      <c r="F256" s="48"/>
      <c r="G256" s="48"/>
    </row>
    <row r="257" spans="6:7" ht="14.25" customHeight="1">
      <c r="F257" s="48"/>
      <c r="G257" s="48"/>
    </row>
    <row r="258" spans="6:7" ht="14.25" customHeight="1">
      <c r="F258" s="48"/>
      <c r="G258" s="48"/>
    </row>
    <row r="259" spans="6:7" ht="14.25" customHeight="1">
      <c r="F259" s="48"/>
      <c r="G259" s="48"/>
    </row>
    <row r="260" spans="6:7" ht="14.25" customHeight="1">
      <c r="F260" s="48"/>
      <c r="G260" s="48"/>
    </row>
    <row r="261" spans="6:7" ht="14.25" customHeight="1">
      <c r="F261" s="48"/>
      <c r="G261" s="48"/>
    </row>
    <row r="262" spans="6:7" ht="14.25" customHeight="1">
      <c r="F262" s="48"/>
      <c r="G262" s="48"/>
    </row>
    <row r="263" spans="6:7" ht="14.25" customHeight="1">
      <c r="F263" s="48"/>
      <c r="G263" s="48"/>
    </row>
    <row r="264" spans="6:7" ht="14.25" customHeight="1">
      <c r="F264" s="48"/>
      <c r="G264" s="48"/>
    </row>
    <row r="265" spans="6:7" ht="14.25" customHeight="1">
      <c r="F265" s="48"/>
      <c r="G265" s="48"/>
    </row>
    <row r="266" spans="6:7" ht="14.25" customHeight="1">
      <c r="F266" s="48"/>
      <c r="G266" s="48"/>
    </row>
    <row r="267" spans="6:7" ht="14.25" customHeight="1">
      <c r="F267" s="48"/>
      <c r="G267" s="48"/>
    </row>
    <row r="268" spans="6:7" ht="14.25" customHeight="1">
      <c r="F268" s="48"/>
      <c r="G268" s="48"/>
    </row>
    <row r="269" spans="6:7" ht="14.25" customHeight="1">
      <c r="F269" s="48"/>
      <c r="G269" s="48"/>
    </row>
    <row r="270" spans="6:7" ht="14.25" customHeight="1">
      <c r="F270" s="48"/>
      <c r="G270" s="48"/>
    </row>
    <row r="271" spans="6:7" ht="14.25" customHeight="1">
      <c r="F271" s="48"/>
      <c r="G271" s="48"/>
    </row>
    <row r="272" spans="6:7" ht="14.25" customHeight="1">
      <c r="F272" s="48"/>
      <c r="G272" s="48"/>
    </row>
    <row r="273" spans="6:7" ht="14.25" customHeight="1">
      <c r="F273" s="48"/>
      <c r="G273" s="48"/>
    </row>
    <row r="274" spans="6:7" ht="14.25" customHeight="1">
      <c r="F274" s="48"/>
      <c r="G274" s="48"/>
    </row>
    <row r="275" spans="6:7" ht="14.25" customHeight="1">
      <c r="F275" s="48"/>
      <c r="G275" s="48"/>
    </row>
    <row r="276" spans="6:7" ht="14.25" customHeight="1">
      <c r="F276" s="48"/>
      <c r="G276" s="48"/>
    </row>
    <row r="277" spans="6:7" ht="14.25" customHeight="1">
      <c r="F277" s="48"/>
      <c r="G277" s="48"/>
    </row>
    <row r="278" spans="6:7" ht="14.25" customHeight="1">
      <c r="F278" s="48"/>
      <c r="G278" s="48"/>
    </row>
    <row r="279" spans="6:7" ht="14.25" customHeight="1">
      <c r="F279" s="48"/>
      <c r="G279" s="48"/>
    </row>
    <row r="280" spans="6:7" ht="14.25" customHeight="1">
      <c r="F280" s="48"/>
      <c r="G280" s="48"/>
    </row>
    <row r="281" spans="6:7" ht="14.25" customHeight="1">
      <c r="F281" s="48"/>
      <c r="G281" s="48"/>
    </row>
    <row r="282" spans="6:7" ht="14.25" customHeight="1">
      <c r="F282" s="48"/>
      <c r="G282" s="48"/>
    </row>
    <row r="283" spans="6:7" ht="14.25" customHeight="1">
      <c r="F283" s="48"/>
      <c r="G283" s="48"/>
    </row>
    <row r="284" spans="6:7" ht="14.25" customHeight="1">
      <c r="F284" s="48"/>
      <c r="G284" s="48"/>
    </row>
    <row r="285" spans="6:7" ht="14.25" customHeight="1">
      <c r="F285" s="48"/>
      <c r="G285" s="48"/>
    </row>
    <row r="286" spans="6:7" ht="14.25" customHeight="1">
      <c r="F286" s="48"/>
      <c r="G286" s="48"/>
    </row>
    <row r="287" spans="6:7" ht="14.25" customHeight="1">
      <c r="F287" s="48"/>
      <c r="G287" s="48"/>
    </row>
    <row r="288" spans="6:7" ht="14.25" customHeight="1">
      <c r="F288" s="48"/>
      <c r="G288" s="48"/>
    </row>
    <row r="289" spans="6:7" ht="14.25" customHeight="1">
      <c r="F289" s="48"/>
      <c r="G289" s="48"/>
    </row>
    <row r="290" spans="6:7" ht="14.25" customHeight="1">
      <c r="F290" s="48"/>
      <c r="G290" s="48"/>
    </row>
    <row r="291" spans="6:7" ht="14.25" customHeight="1">
      <c r="F291" s="48"/>
      <c r="G291" s="48"/>
    </row>
    <row r="292" spans="6:7" ht="14.25" customHeight="1">
      <c r="F292" s="48"/>
      <c r="G292" s="48"/>
    </row>
    <row r="293" spans="6:7" ht="14.25" customHeight="1">
      <c r="F293" s="48"/>
      <c r="G293" s="48"/>
    </row>
    <row r="294" spans="6:7" ht="14.25" customHeight="1">
      <c r="F294" s="48"/>
      <c r="G294" s="48"/>
    </row>
    <row r="295" spans="6:7" ht="14.25" customHeight="1">
      <c r="F295" s="48"/>
      <c r="G295" s="48"/>
    </row>
    <row r="296" spans="6:7" ht="14.25" customHeight="1">
      <c r="F296" s="48"/>
      <c r="G296" s="48"/>
    </row>
    <row r="297" spans="6:7" ht="14.25" customHeight="1">
      <c r="F297" s="48"/>
      <c r="G297" s="48"/>
    </row>
    <row r="298" spans="6:7" ht="14.25" customHeight="1">
      <c r="F298" s="48"/>
      <c r="G298" s="48"/>
    </row>
    <row r="299" spans="6:7" ht="14.25" customHeight="1">
      <c r="F299" s="48"/>
      <c r="G299" s="48"/>
    </row>
    <row r="300" spans="6:7" ht="14.25" customHeight="1">
      <c r="F300" s="48"/>
      <c r="G300" s="48"/>
    </row>
    <row r="301" spans="6:7" ht="14.25" customHeight="1">
      <c r="F301" s="48"/>
      <c r="G301" s="48"/>
    </row>
    <row r="302" spans="6:7" ht="14.25" customHeight="1">
      <c r="F302" s="48"/>
      <c r="G302" s="48"/>
    </row>
    <row r="303" spans="6:7" ht="14.25" customHeight="1">
      <c r="F303" s="48"/>
      <c r="G303" s="48"/>
    </row>
    <row r="304" spans="6:7" ht="14.25" customHeight="1">
      <c r="F304" s="48"/>
      <c r="G304" s="48"/>
    </row>
    <row r="305" spans="6:7" ht="14.25" customHeight="1">
      <c r="F305" s="48"/>
      <c r="G305" s="48"/>
    </row>
    <row r="306" spans="6:7" ht="14.25" customHeight="1">
      <c r="F306" s="48"/>
      <c r="G306" s="48"/>
    </row>
    <row r="307" spans="6:7" ht="14.25" customHeight="1">
      <c r="F307" s="48"/>
      <c r="G307" s="48"/>
    </row>
    <row r="308" spans="6:7" ht="14.25" customHeight="1">
      <c r="F308" s="48"/>
      <c r="G308" s="48"/>
    </row>
    <row r="309" spans="6:7" ht="14.25" customHeight="1">
      <c r="F309" s="48"/>
      <c r="G309" s="48"/>
    </row>
    <row r="310" spans="6:7" ht="14.25" customHeight="1">
      <c r="F310" s="48"/>
      <c r="G310" s="48"/>
    </row>
    <row r="311" spans="6:7" ht="14.25" customHeight="1">
      <c r="F311" s="48"/>
      <c r="G311" s="48"/>
    </row>
    <row r="312" spans="6:7" ht="14.25" customHeight="1">
      <c r="F312" s="48"/>
      <c r="G312" s="48"/>
    </row>
    <row r="313" spans="6:7" ht="14.25" customHeight="1">
      <c r="F313" s="48"/>
      <c r="G313" s="48"/>
    </row>
    <row r="314" spans="6:7" ht="14.25" customHeight="1">
      <c r="F314" s="48"/>
      <c r="G314" s="48"/>
    </row>
    <row r="315" spans="6:7" ht="14.25" customHeight="1">
      <c r="F315" s="48"/>
      <c r="G315" s="48"/>
    </row>
    <row r="316" spans="6:7" ht="14.25" customHeight="1">
      <c r="F316" s="48"/>
      <c r="G316" s="48"/>
    </row>
    <row r="317" spans="6:7" ht="14.25" customHeight="1">
      <c r="F317" s="48"/>
      <c r="G317" s="48"/>
    </row>
    <row r="318" spans="6:7" ht="14.25" customHeight="1">
      <c r="F318" s="48"/>
      <c r="G318" s="48"/>
    </row>
    <row r="319" spans="6:7" ht="14.25" customHeight="1">
      <c r="F319" s="48"/>
      <c r="G319" s="48"/>
    </row>
    <row r="320" spans="6:7" ht="14.25" customHeight="1">
      <c r="F320" s="48"/>
      <c r="G320" s="48"/>
    </row>
    <row r="321" spans="6:7" ht="14.25" customHeight="1">
      <c r="F321" s="48"/>
      <c r="G321" s="48"/>
    </row>
    <row r="322" spans="6:7" ht="14.25" customHeight="1">
      <c r="F322" s="48"/>
      <c r="G322" s="48"/>
    </row>
    <row r="323" spans="6:7" ht="14.25" customHeight="1">
      <c r="F323" s="48"/>
      <c r="G323" s="48"/>
    </row>
    <row r="324" spans="6:7" ht="14.25" customHeight="1">
      <c r="F324" s="48"/>
      <c r="G324" s="48"/>
    </row>
    <row r="325" spans="6:7" ht="14.25" customHeight="1">
      <c r="F325" s="48"/>
      <c r="G325" s="48"/>
    </row>
    <row r="326" spans="6:7" ht="14.25" customHeight="1">
      <c r="F326" s="48"/>
      <c r="G326" s="48"/>
    </row>
    <row r="327" spans="6:7" ht="14.25" customHeight="1">
      <c r="F327" s="48"/>
      <c r="G327" s="48"/>
    </row>
    <row r="328" spans="6:7" ht="14.25" customHeight="1">
      <c r="F328" s="48"/>
      <c r="G328" s="48"/>
    </row>
    <row r="329" spans="6:7" ht="14.25" customHeight="1">
      <c r="F329" s="48"/>
      <c r="G329" s="48"/>
    </row>
    <row r="330" spans="6:7" ht="14.25" customHeight="1">
      <c r="F330" s="48"/>
      <c r="G330" s="48"/>
    </row>
    <row r="331" spans="6:7" ht="14.25" customHeight="1">
      <c r="F331" s="48"/>
      <c r="G331" s="48"/>
    </row>
    <row r="332" spans="6:7" ht="14.25" customHeight="1">
      <c r="F332" s="48"/>
      <c r="G332" s="48"/>
    </row>
    <row r="333" spans="6:7" ht="14.25" customHeight="1">
      <c r="F333" s="48"/>
      <c r="G333" s="48"/>
    </row>
    <row r="334" spans="6:7" ht="14.25" customHeight="1">
      <c r="F334" s="48"/>
      <c r="G334" s="48"/>
    </row>
    <row r="335" spans="6:7" ht="14.25" customHeight="1">
      <c r="F335" s="48"/>
      <c r="G335" s="48"/>
    </row>
    <row r="336" spans="6:7" ht="14.25" customHeight="1">
      <c r="F336" s="48"/>
      <c r="G336" s="48"/>
    </row>
    <row r="337" spans="6:7" ht="14.25" customHeight="1">
      <c r="F337" s="48"/>
      <c r="G337" s="48"/>
    </row>
    <row r="338" spans="6:7" ht="14.25" customHeight="1">
      <c r="F338" s="48"/>
      <c r="G338" s="48"/>
    </row>
    <row r="339" spans="6:7" ht="14.25" customHeight="1">
      <c r="F339" s="48"/>
      <c r="G339" s="48"/>
    </row>
    <row r="340" spans="6:7" ht="14.25" customHeight="1">
      <c r="F340" s="48"/>
      <c r="G340" s="48"/>
    </row>
    <row r="341" spans="6:7" ht="14.25" customHeight="1">
      <c r="F341" s="48"/>
      <c r="G341" s="48"/>
    </row>
    <row r="342" spans="6:7" ht="14.25" customHeight="1">
      <c r="F342" s="48"/>
      <c r="G342" s="48"/>
    </row>
    <row r="343" spans="6:7" ht="14.25" customHeight="1">
      <c r="F343" s="48"/>
      <c r="G343" s="48"/>
    </row>
    <row r="344" spans="6:7" ht="14.25" customHeight="1">
      <c r="F344" s="48"/>
      <c r="G344" s="48"/>
    </row>
    <row r="345" spans="6:7" ht="14.25" customHeight="1">
      <c r="F345" s="48"/>
      <c r="G345" s="48"/>
    </row>
    <row r="346" spans="6:7" ht="14.25" customHeight="1">
      <c r="F346" s="48"/>
      <c r="G346" s="48"/>
    </row>
    <row r="347" spans="6:7" ht="14.25" customHeight="1">
      <c r="F347" s="48"/>
      <c r="G347" s="48"/>
    </row>
    <row r="348" spans="6:7" ht="14.25" customHeight="1">
      <c r="F348" s="48"/>
      <c r="G348" s="48"/>
    </row>
    <row r="349" spans="6:7" ht="14.25" customHeight="1">
      <c r="F349" s="48"/>
      <c r="G349" s="48"/>
    </row>
    <row r="350" spans="6:7" ht="14.25" customHeight="1">
      <c r="F350" s="48"/>
      <c r="G350" s="48"/>
    </row>
    <row r="351" spans="6:7" ht="14.25" customHeight="1">
      <c r="F351" s="48"/>
      <c r="G351" s="48"/>
    </row>
    <row r="352" spans="6:7" ht="14.25" customHeight="1">
      <c r="F352" s="48"/>
      <c r="G352" s="48"/>
    </row>
    <row r="353" spans="6:7" ht="14.25" customHeight="1">
      <c r="F353" s="48"/>
      <c r="G353" s="48"/>
    </row>
    <row r="354" spans="6:7" ht="14.25" customHeight="1">
      <c r="F354" s="48"/>
      <c r="G354" s="48"/>
    </row>
    <row r="355" spans="6:7" ht="14.25" customHeight="1">
      <c r="F355" s="48"/>
      <c r="G355" s="48"/>
    </row>
    <row r="356" spans="6:7" ht="14.25" customHeight="1">
      <c r="F356" s="48"/>
      <c r="G356" s="48"/>
    </row>
    <row r="357" spans="6:7" ht="14.25" customHeight="1">
      <c r="F357" s="48"/>
      <c r="G357" s="48"/>
    </row>
    <row r="358" spans="6:7" ht="14.25" customHeight="1">
      <c r="F358" s="48"/>
      <c r="G358" s="48"/>
    </row>
    <row r="359" spans="6:7" ht="14.25" customHeight="1">
      <c r="F359" s="48"/>
      <c r="G359" s="48"/>
    </row>
    <row r="360" spans="6:7" ht="14.25" customHeight="1">
      <c r="F360" s="48"/>
      <c r="G360" s="48"/>
    </row>
    <row r="361" spans="6:7" ht="14.25" customHeight="1">
      <c r="F361" s="48"/>
      <c r="G361" s="48"/>
    </row>
    <row r="362" spans="6:7" ht="14.25" customHeight="1">
      <c r="F362" s="48"/>
      <c r="G362" s="48"/>
    </row>
    <row r="363" spans="6:7" ht="14.25" customHeight="1">
      <c r="F363" s="48"/>
      <c r="G363" s="48"/>
    </row>
    <row r="364" spans="6:7" ht="14.25" customHeight="1">
      <c r="F364" s="48"/>
      <c r="G364" s="48"/>
    </row>
    <row r="365" spans="6:7" ht="14.25" customHeight="1">
      <c r="F365" s="48"/>
      <c r="G365" s="48"/>
    </row>
    <row r="366" spans="6:7" ht="14.25" customHeight="1">
      <c r="F366" s="48"/>
      <c r="G366" s="48"/>
    </row>
    <row r="367" spans="6:7" ht="14.25" customHeight="1">
      <c r="F367" s="48"/>
      <c r="G367" s="48"/>
    </row>
    <row r="368" spans="6:7" ht="14.25" customHeight="1">
      <c r="F368" s="48"/>
      <c r="G368" s="48"/>
    </row>
    <row r="369" spans="6:7" ht="14.25" customHeight="1">
      <c r="F369" s="48"/>
      <c r="G369" s="48"/>
    </row>
    <row r="370" spans="6:7" ht="14.25" customHeight="1">
      <c r="F370" s="48"/>
      <c r="G370" s="48"/>
    </row>
    <row r="371" spans="6:7" ht="14.25" customHeight="1">
      <c r="F371" s="48"/>
      <c r="G371" s="48"/>
    </row>
    <row r="372" spans="6:7" ht="14.25" customHeight="1">
      <c r="F372" s="48"/>
      <c r="G372" s="48"/>
    </row>
    <row r="373" spans="6:7" ht="14.25" customHeight="1">
      <c r="F373" s="48"/>
      <c r="G373" s="48"/>
    </row>
    <row r="374" spans="6:7" ht="14.25" customHeight="1">
      <c r="F374" s="48"/>
      <c r="G374" s="48"/>
    </row>
    <row r="375" spans="6:7" ht="14.25" customHeight="1">
      <c r="F375" s="48"/>
      <c r="G375" s="48"/>
    </row>
    <row r="376" spans="6:7" ht="14.25" customHeight="1">
      <c r="F376" s="48"/>
      <c r="G376" s="48"/>
    </row>
    <row r="377" spans="6:7" ht="14.25" customHeight="1">
      <c r="F377" s="48"/>
      <c r="G377" s="48"/>
    </row>
    <row r="378" spans="6:7" ht="14.25" customHeight="1">
      <c r="F378" s="48"/>
      <c r="G378" s="48"/>
    </row>
    <row r="379" spans="6:7" ht="14.25" customHeight="1">
      <c r="F379" s="48"/>
      <c r="G379" s="48"/>
    </row>
    <row r="380" spans="6:7" ht="14.25" customHeight="1">
      <c r="F380" s="48"/>
      <c r="G380" s="48"/>
    </row>
    <row r="381" spans="6:7" ht="14.25" customHeight="1">
      <c r="F381" s="48"/>
      <c r="G381" s="48"/>
    </row>
    <row r="382" spans="6:7" ht="14.25" customHeight="1">
      <c r="F382" s="48"/>
      <c r="G382" s="48"/>
    </row>
    <row r="383" spans="6:7" ht="14.25" customHeight="1">
      <c r="F383" s="48"/>
      <c r="G383" s="48"/>
    </row>
    <row r="384" spans="6:7" ht="14.25" customHeight="1">
      <c r="F384" s="48"/>
      <c r="G384" s="48"/>
    </row>
    <row r="385" spans="6:7" ht="14.25" customHeight="1">
      <c r="F385" s="48"/>
      <c r="G385" s="48"/>
    </row>
    <row r="386" spans="6:7" ht="14.25" customHeight="1">
      <c r="F386" s="48"/>
      <c r="G386" s="48"/>
    </row>
    <row r="387" spans="6:7" ht="14.25" customHeight="1">
      <c r="F387" s="48"/>
      <c r="G387" s="48"/>
    </row>
    <row r="388" spans="6:7" ht="14.25" customHeight="1">
      <c r="F388" s="48"/>
      <c r="G388" s="48"/>
    </row>
    <row r="389" spans="6:7" ht="14.25" customHeight="1">
      <c r="F389" s="48"/>
      <c r="G389" s="48"/>
    </row>
    <row r="390" spans="6:7" ht="14.25" customHeight="1">
      <c r="F390" s="48"/>
      <c r="G390" s="48"/>
    </row>
    <row r="391" spans="6:7" ht="14.25" customHeight="1">
      <c r="F391" s="48"/>
      <c r="G391" s="48"/>
    </row>
    <row r="392" spans="6:7" ht="14.25" customHeight="1">
      <c r="F392" s="48"/>
      <c r="G392" s="48"/>
    </row>
    <row r="393" spans="6:7" ht="14.25" customHeight="1">
      <c r="F393" s="48"/>
      <c r="G393" s="48"/>
    </row>
    <row r="394" spans="6:7" ht="14.25" customHeight="1">
      <c r="F394" s="48"/>
      <c r="G394" s="48"/>
    </row>
    <row r="395" spans="6:7" ht="14.25" customHeight="1">
      <c r="F395" s="48"/>
      <c r="G395" s="48"/>
    </row>
    <row r="396" spans="6:7" ht="14.25" customHeight="1">
      <c r="F396" s="48"/>
      <c r="G396" s="48"/>
    </row>
    <row r="397" spans="6:7" ht="14.25" customHeight="1">
      <c r="F397" s="48"/>
      <c r="G397" s="48"/>
    </row>
    <row r="398" spans="6:7" ht="14.25" customHeight="1">
      <c r="F398" s="48"/>
      <c r="G398" s="48"/>
    </row>
    <row r="399" spans="6:7" ht="14.25" customHeight="1">
      <c r="F399" s="48"/>
      <c r="G399" s="48"/>
    </row>
    <row r="400" spans="6:7" ht="14.25" customHeight="1">
      <c r="F400" s="48"/>
      <c r="G400" s="48"/>
    </row>
    <row r="401" spans="6:7" ht="14.25" customHeight="1">
      <c r="F401" s="48"/>
      <c r="G401" s="48"/>
    </row>
    <row r="402" spans="6:7" ht="14.25" customHeight="1">
      <c r="F402" s="48"/>
      <c r="G402" s="48"/>
    </row>
    <row r="403" spans="6:7" ht="14.25" customHeight="1">
      <c r="F403" s="48"/>
      <c r="G403" s="48"/>
    </row>
    <row r="404" spans="6:7" ht="14.25" customHeight="1">
      <c r="F404" s="48"/>
      <c r="G404" s="48"/>
    </row>
    <row r="405" spans="6:7" ht="14.25" customHeight="1">
      <c r="F405" s="48"/>
      <c r="G405" s="48"/>
    </row>
    <row r="406" spans="6:7" ht="14.25" customHeight="1">
      <c r="F406" s="48"/>
      <c r="G406" s="48"/>
    </row>
    <row r="407" spans="6:7" ht="14.25" customHeight="1">
      <c r="F407" s="48"/>
      <c r="G407" s="48"/>
    </row>
    <row r="408" spans="6:7" ht="14.25" customHeight="1">
      <c r="F408" s="48"/>
      <c r="G408" s="48"/>
    </row>
    <row r="409" spans="6:7" ht="14.25" customHeight="1">
      <c r="F409" s="48"/>
      <c r="G409" s="48"/>
    </row>
    <row r="410" spans="6:7" ht="14.25" customHeight="1">
      <c r="F410" s="48"/>
      <c r="G410" s="48"/>
    </row>
    <row r="411" spans="6:7" ht="14.25" customHeight="1">
      <c r="F411" s="48"/>
      <c r="G411" s="48"/>
    </row>
    <row r="412" spans="6:7" ht="14.25" customHeight="1">
      <c r="F412" s="48"/>
      <c r="G412" s="48"/>
    </row>
    <row r="413" spans="6:7" ht="14.25" customHeight="1">
      <c r="F413" s="48"/>
      <c r="G413" s="48"/>
    </row>
    <row r="414" spans="6:7" ht="14.25" customHeight="1">
      <c r="F414" s="48"/>
      <c r="G414" s="48"/>
    </row>
    <row r="415" spans="6:7" ht="14.25" customHeight="1">
      <c r="F415" s="48"/>
      <c r="G415" s="48"/>
    </row>
    <row r="416" spans="6:7" ht="14.25" customHeight="1">
      <c r="F416" s="48"/>
      <c r="G416" s="48"/>
    </row>
    <row r="417" spans="6:7" ht="14.25" customHeight="1">
      <c r="F417" s="48"/>
      <c r="G417" s="48"/>
    </row>
    <row r="418" spans="6:7" ht="14.25" customHeight="1">
      <c r="F418" s="48"/>
      <c r="G418" s="48"/>
    </row>
    <row r="419" spans="6:7" ht="14.25" customHeight="1">
      <c r="F419" s="48"/>
      <c r="G419" s="48"/>
    </row>
    <row r="420" spans="6:7" ht="14.25" customHeight="1">
      <c r="F420" s="48"/>
      <c r="G420" s="48"/>
    </row>
    <row r="421" spans="6:7" ht="14.25" customHeight="1">
      <c r="F421" s="48"/>
      <c r="G421" s="48"/>
    </row>
    <row r="422" spans="6:7" ht="14.25" customHeight="1">
      <c r="F422" s="48"/>
      <c r="G422" s="48"/>
    </row>
    <row r="423" spans="6:7" ht="14.25" customHeight="1">
      <c r="F423" s="48"/>
      <c r="G423" s="48"/>
    </row>
    <row r="424" spans="6:7" ht="14.25" customHeight="1">
      <c r="F424" s="48"/>
      <c r="G424" s="48"/>
    </row>
    <row r="425" spans="6:7" ht="14.25" customHeight="1">
      <c r="F425" s="48"/>
      <c r="G425" s="48"/>
    </row>
    <row r="426" spans="6:7" ht="14.25" customHeight="1">
      <c r="F426" s="48"/>
      <c r="G426" s="48"/>
    </row>
    <row r="427" spans="6:7" ht="14.25" customHeight="1">
      <c r="F427" s="48"/>
      <c r="G427" s="48"/>
    </row>
    <row r="428" spans="6:7" ht="14.25" customHeight="1">
      <c r="F428" s="48"/>
      <c r="G428" s="48"/>
    </row>
    <row r="429" spans="6:7" ht="14.25" customHeight="1">
      <c r="F429" s="48"/>
      <c r="G429" s="48"/>
    </row>
    <row r="430" spans="6:7" ht="14.25" customHeight="1">
      <c r="F430" s="48"/>
      <c r="G430" s="48"/>
    </row>
    <row r="431" spans="6:7" ht="14.25" customHeight="1">
      <c r="F431" s="48"/>
      <c r="G431" s="48"/>
    </row>
    <row r="432" spans="6:7" ht="14.25" customHeight="1">
      <c r="F432" s="48"/>
      <c r="G432" s="48"/>
    </row>
    <row r="433" spans="6:7" ht="14.25" customHeight="1">
      <c r="F433" s="48"/>
      <c r="G433" s="48"/>
    </row>
    <row r="434" spans="6:7" ht="14.25" customHeight="1">
      <c r="F434" s="48"/>
      <c r="G434" s="48"/>
    </row>
    <row r="435" spans="6:7" ht="14.25" customHeight="1">
      <c r="F435" s="48"/>
      <c r="G435" s="48"/>
    </row>
    <row r="436" spans="6:7" ht="14.25" customHeight="1">
      <c r="F436" s="48"/>
      <c r="G436" s="48"/>
    </row>
    <row r="437" spans="6:7" ht="14.25" customHeight="1">
      <c r="F437" s="48"/>
      <c r="G437" s="48"/>
    </row>
    <row r="438" spans="6:7" ht="14.25" customHeight="1">
      <c r="F438" s="48"/>
      <c r="G438" s="48"/>
    </row>
    <row r="439" spans="6:7" ht="14.25" customHeight="1">
      <c r="F439" s="48"/>
      <c r="G439" s="48"/>
    </row>
    <row r="440" spans="6:7" ht="14.25" customHeight="1">
      <c r="F440" s="48"/>
      <c r="G440" s="48"/>
    </row>
    <row r="441" spans="6:7" ht="14.25" customHeight="1">
      <c r="F441" s="48"/>
      <c r="G441" s="48"/>
    </row>
    <row r="442" spans="6:7" ht="14.25" customHeight="1">
      <c r="F442" s="48"/>
      <c r="G442" s="48"/>
    </row>
    <row r="443" spans="6:7" ht="14.25" customHeight="1">
      <c r="F443" s="48"/>
      <c r="G443" s="48"/>
    </row>
    <row r="444" spans="6:7" ht="14.25" customHeight="1">
      <c r="F444" s="48"/>
      <c r="G444" s="48"/>
    </row>
    <row r="445" spans="6:7" ht="14.25" customHeight="1">
      <c r="F445" s="48"/>
      <c r="G445" s="48"/>
    </row>
    <row r="446" spans="6:7" ht="14.25" customHeight="1">
      <c r="F446" s="48"/>
      <c r="G446" s="48"/>
    </row>
    <row r="447" spans="6:7" ht="14.25" customHeight="1">
      <c r="F447" s="48"/>
      <c r="G447" s="48"/>
    </row>
    <row r="448" spans="6:7" ht="14.25" customHeight="1">
      <c r="F448" s="48"/>
      <c r="G448" s="48"/>
    </row>
    <row r="449" spans="6:7" ht="14.25" customHeight="1">
      <c r="F449" s="48"/>
      <c r="G449" s="48"/>
    </row>
    <row r="450" spans="6:7" ht="14.25" customHeight="1">
      <c r="F450" s="48"/>
      <c r="G450" s="48"/>
    </row>
    <row r="451" spans="6:7" ht="14.25" customHeight="1">
      <c r="F451" s="48"/>
      <c r="G451" s="48"/>
    </row>
    <row r="452" spans="6:7" ht="14.25" customHeight="1">
      <c r="F452" s="48"/>
      <c r="G452" s="48"/>
    </row>
    <row r="453" spans="6:7" ht="14.25" customHeight="1">
      <c r="F453" s="48"/>
      <c r="G453" s="48"/>
    </row>
    <row r="454" spans="6:7" ht="14.25" customHeight="1">
      <c r="F454" s="48"/>
      <c r="G454" s="48"/>
    </row>
    <row r="455" spans="6:7" ht="14.25" customHeight="1">
      <c r="F455" s="48"/>
      <c r="G455" s="48"/>
    </row>
    <row r="456" spans="6:7" ht="14.25" customHeight="1">
      <c r="F456" s="48"/>
      <c r="G456" s="48"/>
    </row>
    <row r="457" spans="6:7" ht="14.25" customHeight="1">
      <c r="F457" s="48"/>
      <c r="G457" s="48"/>
    </row>
    <row r="458" spans="6:7" ht="14.25" customHeight="1">
      <c r="F458" s="48"/>
      <c r="G458" s="48"/>
    </row>
    <row r="459" spans="6:7" ht="14.25" customHeight="1">
      <c r="F459" s="48"/>
      <c r="G459" s="48"/>
    </row>
    <row r="460" spans="6:7" ht="14.25" customHeight="1">
      <c r="F460" s="48"/>
      <c r="G460" s="48"/>
    </row>
    <row r="461" spans="6:7" ht="14.25" customHeight="1">
      <c r="F461" s="48"/>
      <c r="G461" s="48"/>
    </row>
    <row r="462" spans="6:7" ht="14.25" customHeight="1">
      <c r="F462" s="48"/>
      <c r="G462" s="48"/>
    </row>
    <row r="463" spans="6:7" ht="14.25" customHeight="1">
      <c r="F463" s="48"/>
      <c r="G463" s="48"/>
    </row>
    <row r="464" spans="6:7" ht="14.25" customHeight="1">
      <c r="F464" s="48"/>
      <c r="G464" s="48"/>
    </row>
    <row r="465" spans="6:7" ht="14.25" customHeight="1">
      <c r="F465" s="48"/>
      <c r="G465" s="48"/>
    </row>
    <row r="466" spans="6:7" ht="14.25" customHeight="1">
      <c r="F466" s="48"/>
      <c r="G466" s="48"/>
    </row>
    <row r="467" spans="6:7" ht="14.25" customHeight="1">
      <c r="F467" s="48"/>
      <c r="G467" s="48"/>
    </row>
    <row r="468" spans="6:7" ht="14.25" customHeight="1">
      <c r="F468" s="48"/>
      <c r="G468" s="48"/>
    </row>
    <row r="469" spans="6:7" ht="14.25" customHeight="1">
      <c r="F469" s="48"/>
      <c r="G469" s="48"/>
    </row>
    <row r="470" spans="6:7" ht="14.25" customHeight="1">
      <c r="F470" s="48"/>
      <c r="G470" s="48"/>
    </row>
    <row r="471" spans="6:7" ht="14.25" customHeight="1">
      <c r="F471" s="48"/>
      <c r="G471" s="48"/>
    </row>
    <row r="472" spans="6:7" ht="14.25" customHeight="1">
      <c r="F472" s="48"/>
      <c r="G472" s="48"/>
    </row>
    <row r="473" spans="6:7" ht="14.25" customHeight="1">
      <c r="F473" s="48"/>
      <c r="G473" s="48"/>
    </row>
    <row r="474" spans="6:7" ht="14.25" customHeight="1">
      <c r="F474" s="48"/>
      <c r="G474" s="48"/>
    </row>
    <row r="475" spans="6:7" ht="14.25" customHeight="1">
      <c r="F475" s="48"/>
      <c r="G475" s="48"/>
    </row>
    <row r="476" spans="6:7" ht="14.25" customHeight="1">
      <c r="F476" s="48"/>
      <c r="G476" s="48"/>
    </row>
    <row r="477" spans="6:7" ht="14.25" customHeight="1">
      <c r="F477" s="48"/>
      <c r="G477" s="48"/>
    </row>
    <row r="478" spans="6:7" ht="14.25" customHeight="1">
      <c r="F478" s="48"/>
      <c r="G478" s="48"/>
    </row>
    <row r="479" spans="6:7" ht="14.25" customHeight="1">
      <c r="F479" s="48"/>
      <c r="G479" s="48"/>
    </row>
    <row r="480" spans="6:7" ht="14.25" customHeight="1">
      <c r="F480" s="48"/>
      <c r="G480" s="48"/>
    </row>
    <row r="481" spans="6:7" ht="14.25" customHeight="1">
      <c r="F481" s="48"/>
      <c r="G481" s="48"/>
    </row>
    <row r="482" spans="6:7" ht="14.25" customHeight="1">
      <c r="F482" s="48"/>
      <c r="G482" s="48"/>
    </row>
    <row r="483" spans="6:7" ht="14.25" customHeight="1">
      <c r="F483" s="48"/>
      <c r="G483" s="48"/>
    </row>
    <row r="484" spans="6:7" ht="14.25" customHeight="1">
      <c r="F484" s="48"/>
      <c r="G484" s="48"/>
    </row>
    <row r="485" spans="6:7" ht="14.25" customHeight="1">
      <c r="F485" s="48"/>
      <c r="G485" s="48"/>
    </row>
    <row r="486" spans="6:7" ht="14.25" customHeight="1">
      <c r="F486" s="48"/>
      <c r="G486" s="48"/>
    </row>
    <row r="487" spans="6:7" ht="14.25" customHeight="1">
      <c r="F487" s="48"/>
      <c r="G487" s="48"/>
    </row>
    <row r="488" spans="6:7" ht="14.25" customHeight="1">
      <c r="F488" s="48"/>
      <c r="G488" s="48"/>
    </row>
    <row r="489" spans="6:7" ht="14.25" customHeight="1">
      <c r="F489" s="48"/>
      <c r="G489" s="48"/>
    </row>
    <row r="490" spans="6:7" ht="14.25" customHeight="1">
      <c r="F490" s="48"/>
      <c r="G490" s="48"/>
    </row>
    <row r="491" spans="6:7" ht="14.25" customHeight="1">
      <c r="F491" s="48"/>
      <c r="G491" s="48"/>
    </row>
    <row r="492" spans="6:7" ht="14.25" customHeight="1">
      <c r="F492" s="48"/>
      <c r="G492" s="48"/>
    </row>
    <row r="493" spans="6:7" ht="14.25" customHeight="1">
      <c r="F493" s="48"/>
      <c r="G493" s="48"/>
    </row>
    <row r="494" spans="6:7" ht="14.25" customHeight="1">
      <c r="F494" s="48"/>
      <c r="G494" s="48"/>
    </row>
    <row r="495" spans="6:7" ht="14.25" customHeight="1">
      <c r="F495" s="48"/>
      <c r="G495" s="48"/>
    </row>
    <row r="496" spans="6:7" ht="14.25" customHeight="1">
      <c r="F496" s="48"/>
      <c r="G496" s="48"/>
    </row>
    <row r="497" spans="6:7" ht="14.25" customHeight="1">
      <c r="F497" s="48"/>
      <c r="G497" s="48"/>
    </row>
    <row r="498" spans="6:7" ht="14.25" customHeight="1">
      <c r="F498" s="48"/>
      <c r="G498" s="48"/>
    </row>
    <row r="499" spans="6:7" ht="14.25" customHeight="1">
      <c r="F499" s="48"/>
      <c r="G499" s="48"/>
    </row>
    <row r="500" spans="6:7" ht="14.25" customHeight="1">
      <c r="F500" s="48"/>
      <c r="G500" s="48"/>
    </row>
    <row r="501" spans="6:7" ht="14.25" customHeight="1">
      <c r="F501" s="48"/>
      <c r="G501" s="48"/>
    </row>
    <row r="502" spans="6:7" ht="14.25" customHeight="1">
      <c r="F502" s="48"/>
      <c r="G502" s="48"/>
    </row>
    <row r="503" spans="6:7" ht="14.25" customHeight="1">
      <c r="F503" s="48"/>
      <c r="G503" s="48"/>
    </row>
    <row r="504" spans="6:7" ht="14.25" customHeight="1">
      <c r="F504" s="48"/>
      <c r="G504" s="48"/>
    </row>
    <row r="505" spans="6:7" ht="14.25" customHeight="1">
      <c r="F505" s="48"/>
      <c r="G505" s="48"/>
    </row>
    <row r="506" spans="6:7" ht="14.25" customHeight="1">
      <c r="F506" s="48"/>
      <c r="G506" s="48"/>
    </row>
    <row r="507" spans="6:7" ht="14.25" customHeight="1">
      <c r="F507" s="48"/>
      <c r="G507" s="48"/>
    </row>
    <row r="508" spans="6:7" ht="14.25" customHeight="1">
      <c r="F508" s="48"/>
      <c r="G508" s="48"/>
    </row>
    <row r="509" spans="6:7" ht="14.25" customHeight="1">
      <c r="F509" s="48"/>
      <c r="G509" s="48"/>
    </row>
    <row r="510" spans="6:7" ht="14.25" customHeight="1">
      <c r="F510" s="48"/>
      <c r="G510" s="48"/>
    </row>
    <row r="511" spans="6:7" ht="14.25" customHeight="1">
      <c r="F511" s="48"/>
      <c r="G511" s="48"/>
    </row>
    <row r="512" spans="6:7" ht="14.25" customHeight="1">
      <c r="F512" s="48"/>
      <c r="G512" s="48"/>
    </row>
    <row r="513" spans="6:7" ht="14.25" customHeight="1">
      <c r="F513" s="48"/>
      <c r="G513" s="48"/>
    </row>
    <row r="514" spans="6:7" ht="14.25" customHeight="1">
      <c r="F514" s="48"/>
      <c r="G514" s="48"/>
    </row>
    <row r="515" spans="6:7" ht="14.25" customHeight="1">
      <c r="F515" s="48"/>
      <c r="G515" s="48"/>
    </row>
    <row r="516" spans="6:7" ht="14.25" customHeight="1">
      <c r="F516" s="48"/>
      <c r="G516" s="48"/>
    </row>
    <row r="517" spans="6:7" ht="14.25" customHeight="1">
      <c r="F517" s="48"/>
      <c r="G517" s="48"/>
    </row>
    <row r="518" spans="6:7" ht="14.25" customHeight="1">
      <c r="F518" s="48"/>
      <c r="G518" s="48"/>
    </row>
    <row r="519" spans="6:7" ht="14.25" customHeight="1">
      <c r="F519" s="48"/>
      <c r="G519" s="48"/>
    </row>
    <row r="520" spans="6:7" ht="14.25" customHeight="1">
      <c r="F520" s="48"/>
      <c r="G520" s="48"/>
    </row>
    <row r="521" spans="6:7" ht="14.25" customHeight="1">
      <c r="F521" s="48"/>
      <c r="G521" s="48"/>
    </row>
    <row r="522" spans="6:7" ht="14.25" customHeight="1">
      <c r="F522" s="48"/>
      <c r="G522" s="48"/>
    </row>
    <row r="523" spans="6:7" ht="14.25" customHeight="1">
      <c r="F523" s="48"/>
      <c r="G523" s="48"/>
    </row>
    <row r="524" spans="6:7" ht="14.25" customHeight="1">
      <c r="F524" s="48"/>
      <c r="G524" s="48"/>
    </row>
    <row r="525" spans="6:7" ht="14.25" customHeight="1">
      <c r="F525" s="48"/>
      <c r="G525" s="48"/>
    </row>
    <row r="526" spans="6:7" ht="14.25" customHeight="1">
      <c r="F526" s="48"/>
      <c r="G526" s="48"/>
    </row>
    <row r="527" spans="6:7" ht="14.25" customHeight="1">
      <c r="F527" s="48"/>
      <c r="G527" s="48"/>
    </row>
    <row r="528" spans="6:7" ht="14.25" customHeight="1">
      <c r="F528" s="48"/>
      <c r="G528" s="48"/>
    </row>
    <row r="529" spans="6:7" ht="14.25" customHeight="1">
      <c r="F529" s="48"/>
      <c r="G529" s="48"/>
    </row>
    <row r="530" spans="6:7" ht="14.25" customHeight="1">
      <c r="F530" s="48"/>
      <c r="G530" s="48"/>
    </row>
    <row r="531" spans="6:7" ht="14.25" customHeight="1">
      <c r="F531" s="48"/>
      <c r="G531" s="48"/>
    </row>
    <row r="532" spans="6:7" ht="14.25" customHeight="1">
      <c r="F532" s="48"/>
      <c r="G532" s="48"/>
    </row>
    <row r="533" spans="6:7" ht="14.25" customHeight="1">
      <c r="F533" s="48"/>
      <c r="G533" s="48"/>
    </row>
    <row r="534" spans="6:7" ht="14.25" customHeight="1">
      <c r="F534" s="48"/>
      <c r="G534" s="48"/>
    </row>
    <row r="535" spans="6:7" ht="14.25" customHeight="1">
      <c r="F535" s="48"/>
      <c r="G535" s="48"/>
    </row>
    <row r="536" spans="6:7" ht="14.25" customHeight="1">
      <c r="F536" s="48"/>
      <c r="G536" s="48"/>
    </row>
    <row r="537" spans="6:7" ht="14.25" customHeight="1">
      <c r="F537" s="48"/>
      <c r="G537" s="48"/>
    </row>
    <row r="538" spans="6:7" ht="14.25" customHeight="1">
      <c r="F538" s="48"/>
      <c r="G538" s="48"/>
    </row>
    <row r="539" spans="6:7" ht="14.25" customHeight="1">
      <c r="F539" s="48"/>
      <c r="G539" s="48"/>
    </row>
    <row r="540" spans="6:7" ht="14.25" customHeight="1">
      <c r="F540" s="48"/>
      <c r="G540" s="48"/>
    </row>
    <row r="541" spans="6:7" ht="14.25" customHeight="1">
      <c r="F541" s="48"/>
      <c r="G541" s="48"/>
    </row>
    <row r="542" spans="6:7" ht="14.25" customHeight="1">
      <c r="F542" s="48"/>
      <c r="G542" s="48"/>
    </row>
    <row r="543" spans="6:7" ht="14.25" customHeight="1">
      <c r="F543" s="48"/>
      <c r="G543" s="48"/>
    </row>
    <row r="544" spans="6:7" ht="14.25" customHeight="1">
      <c r="F544" s="48"/>
      <c r="G544" s="48"/>
    </row>
    <row r="545" spans="6:7" ht="14.25" customHeight="1">
      <c r="F545" s="48"/>
      <c r="G545" s="48"/>
    </row>
    <row r="546" spans="6:7" ht="14.25" customHeight="1">
      <c r="F546" s="48"/>
      <c r="G546" s="48"/>
    </row>
    <row r="547" spans="6:7" ht="14.25" customHeight="1">
      <c r="F547" s="48"/>
      <c r="G547" s="48"/>
    </row>
    <row r="548" spans="6:7" ht="14.25" customHeight="1">
      <c r="F548" s="48"/>
      <c r="G548" s="48"/>
    </row>
    <row r="549" spans="6:7" ht="14.25" customHeight="1">
      <c r="F549" s="48"/>
      <c r="G549" s="48"/>
    </row>
    <row r="550" spans="6:7" ht="14.25" customHeight="1">
      <c r="F550" s="48"/>
      <c r="G550" s="48"/>
    </row>
    <row r="551" spans="6:7" ht="14.25" customHeight="1">
      <c r="F551" s="48"/>
      <c r="G551" s="48"/>
    </row>
    <row r="552" spans="6:7" ht="14.25" customHeight="1">
      <c r="F552" s="48"/>
      <c r="G552" s="48"/>
    </row>
    <row r="553" spans="6:7" ht="14.25" customHeight="1">
      <c r="F553" s="48"/>
      <c r="G553" s="48"/>
    </row>
    <row r="554" spans="6:7" ht="14.25" customHeight="1">
      <c r="F554" s="48"/>
      <c r="G554" s="48"/>
    </row>
    <row r="555" spans="6:7" ht="14.25" customHeight="1">
      <c r="F555" s="48"/>
      <c r="G555" s="48"/>
    </row>
    <row r="556" spans="6:7" ht="14.25" customHeight="1">
      <c r="F556" s="48"/>
      <c r="G556" s="48"/>
    </row>
    <row r="557" spans="6:7" ht="14.25" customHeight="1">
      <c r="F557" s="48"/>
      <c r="G557" s="48"/>
    </row>
    <row r="558" spans="6:7" ht="14.25" customHeight="1">
      <c r="F558" s="48"/>
      <c r="G558" s="48"/>
    </row>
    <row r="559" spans="6:7" ht="14.25" customHeight="1">
      <c r="F559" s="48"/>
      <c r="G559" s="48"/>
    </row>
    <row r="560" spans="6:7" ht="14.25" customHeight="1">
      <c r="F560" s="48"/>
      <c r="G560" s="48"/>
    </row>
    <row r="561" spans="6:7" ht="14.25" customHeight="1">
      <c r="F561" s="48"/>
      <c r="G561" s="48"/>
    </row>
    <row r="562" spans="6:7" ht="14.25" customHeight="1">
      <c r="F562" s="48"/>
      <c r="G562" s="48"/>
    </row>
    <row r="563" spans="6:7" ht="14.25" customHeight="1">
      <c r="F563" s="48"/>
      <c r="G563" s="48"/>
    </row>
    <row r="564" spans="6:7" ht="14.25" customHeight="1">
      <c r="F564" s="48"/>
      <c r="G564" s="48"/>
    </row>
    <row r="565" spans="6:7" ht="14.25" customHeight="1">
      <c r="F565" s="48"/>
      <c r="G565" s="48"/>
    </row>
    <row r="566" spans="6:7" ht="14.25" customHeight="1">
      <c r="F566" s="48"/>
      <c r="G566" s="48"/>
    </row>
    <row r="567" spans="6:7" ht="14.25" customHeight="1">
      <c r="F567" s="48"/>
      <c r="G567" s="48"/>
    </row>
    <row r="568" spans="6:7" ht="14.25" customHeight="1">
      <c r="F568" s="48"/>
      <c r="G568" s="48"/>
    </row>
    <row r="569" spans="6:7" ht="14.25" customHeight="1">
      <c r="F569" s="48"/>
      <c r="G569" s="48"/>
    </row>
    <row r="570" spans="6:7" ht="14.25" customHeight="1">
      <c r="F570" s="48"/>
      <c r="G570" s="48"/>
    </row>
    <row r="571" spans="6:7" ht="14.25" customHeight="1">
      <c r="F571" s="48"/>
      <c r="G571" s="48"/>
    </row>
    <row r="572" spans="6:7" ht="14.25" customHeight="1">
      <c r="F572" s="48"/>
      <c r="G572" s="48"/>
    </row>
    <row r="573" spans="6:7" ht="14.25" customHeight="1">
      <c r="F573" s="48"/>
      <c r="G573" s="48"/>
    </row>
    <row r="574" spans="6:7" ht="14.25" customHeight="1">
      <c r="F574" s="48"/>
      <c r="G574" s="48"/>
    </row>
    <row r="575" spans="6:7" ht="14.25" customHeight="1">
      <c r="F575" s="48"/>
      <c r="G575" s="48"/>
    </row>
    <row r="576" spans="6:7" ht="14.25" customHeight="1">
      <c r="F576" s="48"/>
      <c r="G576" s="48"/>
    </row>
    <row r="577" spans="6:7" ht="14.25" customHeight="1">
      <c r="F577" s="48"/>
      <c r="G577" s="48"/>
    </row>
    <row r="578" spans="6:7" ht="14.25" customHeight="1">
      <c r="F578" s="48"/>
      <c r="G578" s="48"/>
    </row>
    <row r="579" spans="6:7" ht="14.25" customHeight="1">
      <c r="F579" s="48"/>
      <c r="G579" s="48"/>
    </row>
    <row r="580" spans="6:7" ht="14.25" customHeight="1">
      <c r="F580" s="48"/>
      <c r="G580" s="48"/>
    </row>
    <row r="581" spans="6:7" ht="14.25" customHeight="1">
      <c r="F581" s="48"/>
      <c r="G581" s="48"/>
    </row>
    <row r="582" spans="6:7" ht="14.25" customHeight="1">
      <c r="F582" s="48"/>
      <c r="G582" s="48"/>
    </row>
    <row r="583" spans="6:7" ht="14.25" customHeight="1">
      <c r="F583" s="48"/>
      <c r="G583" s="48"/>
    </row>
    <row r="584" spans="6:7" ht="14.25" customHeight="1">
      <c r="F584" s="48"/>
      <c r="G584" s="48"/>
    </row>
    <row r="585" spans="6:7" ht="14.25" customHeight="1">
      <c r="F585" s="48"/>
      <c r="G585" s="48"/>
    </row>
    <row r="586" spans="6:7" ht="14.25" customHeight="1">
      <c r="F586" s="48"/>
      <c r="G586" s="48"/>
    </row>
    <row r="587" spans="6:7" ht="14.25" customHeight="1">
      <c r="F587" s="48"/>
      <c r="G587" s="48"/>
    </row>
    <row r="588" spans="6:7" ht="14.25" customHeight="1">
      <c r="F588" s="48"/>
      <c r="G588" s="48"/>
    </row>
    <row r="589" spans="6:7" ht="14.25" customHeight="1">
      <c r="F589" s="48"/>
      <c r="G589" s="48"/>
    </row>
    <row r="590" spans="6:7" ht="14.25" customHeight="1">
      <c r="F590" s="48"/>
      <c r="G590" s="48"/>
    </row>
    <row r="591" spans="6:7" ht="14.25" customHeight="1">
      <c r="F591" s="48"/>
      <c r="G591" s="48"/>
    </row>
    <row r="592" spans="6:7" ht="14.25" customHeight="1">
      <c r="F592" s="48"/>
      <c r="G592" s="48"/>
    </row>
    <row r="593" spans="6:7" ht="14.25" customHeight="1">
      <c r="F593" s="48"/>
      <c r="G593" s="48"/>
    </row>
    <row r="594" spans="6:7" ht="14.25" customHeight="1">
      <c r="F594" s="48"/>
      <c r="G594" s="48"/>
    </row>
    <row r="595" spans="6:7" ht="14.25" customHeight="1">
      <c r="F595" s="48"/>
      <c r="G595" s="48"/>
    </row>
    <row r="596" spans="6:7" ht="14.25" customHeight="1">
      <c r="F596" s="48"/>
      <c r="G596" s="48"/>
    </row>
    <row r="597" spans="6:7" ht="14.25" customHeight="1">
      <c r="F597" s="48"/>
      <c r="G597" s="48"/>
    </row>
    <row r="598" spans="6:7" ht="14.25" customHeight="1">
      <c r="F598" s="48"/>
      <c r="G598" s="48"/>
    </row>
    <row r="599" spans="6:7" ht="14.25" customHeight="1">
      <c r="F599" s="48"/>
      <c r="G599" s="48"/>
    </row>
    <row r="600" spans="6:7" ht="14.25" customHeight="1">
      <c r="F600" s="48"/>
      <c r="G600" s="48"/>
    </row>
    <row r="601" spans="6:7" ht="14.25" customHeight="1">
      <c r="F601" s="48"/>
      <c r="G601" s="48"/>
    </row>
    <row r="602" spans="6:7" ht="14.25" customHeight="1">
      <c r="F602" s="48"/>
      <c r="G602" s="48"/>
    </row>
    <row r="603" spans="6:7" ht="14.25" customHeight="1">
      <c r="F603" s="48"/>
      <c r="G603" s="48"/>
    </row>
    <row r="604" spans="6:7" ht="14.25" customHeight="1">
      <c r="F604" s="48"/>
      <c r="G604" s="48"/>
    </row>
    <row r="605" spans="6:7" ht="14.25" customHeight="1">
      <c r="F605" s="48"/>
      <c r="G605" s="48"/>
    </row>
    <row r="606" spans="6:7" ht="14.25" customHeight="1">
      <c r="F606" s="48"/>
      <c r="G606" s="48"/>
    </row>
    <row r="607" spans="6:7" ht="14.25" customHeight="1">
      <c r="F607" s="48"/>
      <c r="G607" s="48"/>
    </row>
    <row r="608" spans="6:7" ht="14.25" customHeight="1">
      <c r="F608" s="48"/>
      <c r="G608" s="48"/>
    </row>
    <row r="609" spans="6:7" ht="14.25" customHeight="1">
      <c r="F609" s="48"/>
      <c r="G609" s="48"/>
    </row>
    <row r="610" spans="6:7" ht="14.25" customHeight="1">
      <c r="F610" s="48"/>
      <c r="G610" s="48"/>
    </row>
    <row r="611" spans="6:7" ht="14.25" customHeight="1">
      <c r="F611" s="48"/>
      <c r="G611" s="48"/>
    </row>
    <row r="612" spans="6:7" ht="14.25" customHeight="1">
      <c r="F612" s="48"/>
      <c r="G612" s="48"/>
    </row>
    <row r="613" spans="6:7" ht="14.25" customHeight="1">
      <c r="F613" s="48"/>
      <c r="G613" s="48"/>
    </row>
    <row r="614" spans="6:7" ht="14.25" customHeight="1">
      <c r="F614" s="48"/>
      <c r="G614" s="48"/>
    </row>
    <row r="615" spans="6:7" ht="14.25" customHeight="1">
      <c r="F615" s="48"/>
      <c r="G615" s="48"/>
    </row>
    <row r="616" spans="6:7" ht="14.25" customHeight="1">
      <c r="F616" s="48"/>
      <c r="G616" s="48"/>
    </row>
    <row r="617" spans="6:7" ht="14.25" customHeight="1">
      <c r="F617" s="48"/>
      <c r="G617" s="48"/>
    </row>
    <row r="618" spans="6:7" ht="14.25" customHeight="1">
      <c r="F618" s="48"/>
      <c r="G618" s="48"/>
    </row>
    <row r="619" spans="6:7" ht="14.25" customHeight="1">
      <c r="F619" s="48"/>
      <c r="G619" s="48"/>
    </row>
    <row r="620" spans="6:7" ht="14.25" customHeight="1">
      <c r="F620" s="48"/>
      <c r="G620" s="48"/>
    </row>
    <row r="621" spans="6:7" ht="14.25" customHeight="1">
      <c r="F621" s="48"/>
      <c r="G621" s="48"/>
    </row>
    <row r="622" spans="6:7" ht="14.25" customHeight="1">
      <c r="F622" s="48"/>
      <c r="G622" s="48"/>
    </row>
    <row r="623" spans="6:7" ht="14.25" customHeight="1">
      <c r="F623" s="48"/>
      <c r="G623" s="48"/>
    </row>
    <row r="624" spans="6:7" ht="14.25" customHeight="1">
      <c r="F624" s="48"/>
      <c r="G624" s="48"/>
    </row>
    <row r="625" spans="6:7" ht="14.25" customHeight="1">
      <c r="F625" s="48"/>
      <c r="G625" s="48"/>
    </row>
    <row r="626" spans="6:7" ht="14.25" customHeight="1">
      <c r="F626" s="48"/>
      <c r="G626" s="48"/>
    </row>
    <row r="627" spans="6:7" ht="14.25" customHeight="1">
      <c r="F627" s="48"/>
      <c r="G627" s="48"/>
    </row>
    <row r="628" spans="6:7" ht="14.25" customHeight="1">
      <c r="F628" s="48"/>
      <c r="G628" s="48"/>
    </row>
    <row r="629" spans="6:7" ht="14.25" customHeight="1">
      <c r="F629" s="48"/>
      <c r="G629" s="48"/>
    </row>
    <row r="630" spans="6:7" ht="14.25" customHeight="1">
      <c r="F630" s="48"/>
      <c r="G630" s="48"/>
    </row>
    <row r="631" spans="6:7" ht="14.25" customHeight="1">
      <c r="F631" s="48"/>
      <c r="G631" s="48"/>
    </row>
    <row r="632" spans="6:7" ht="14.25" customHeight="1">
      <c r="F632" s="48"/>
      <c r="G632" s="48"/>
    </row>
    <row r="633" spans="6:7" ht="14.25" customHeight="1">
      <c r="F633" s="48"/>
      <c r="G633" s="48"/>
    </row>
    <row r="634" spans="6:7" ht="14.25" customHeight="1">
      <c r="F634" s="48"/>
      <c r="G634" s="48"/>
    </row>
    <row r="635" spans="6:7" ht="14.25" customHeight="1">
      <c r="F635" s="48"/>
      <c r="G635" s="48"/>
    </row>
    <row r="636" spans="6:7" ht="14.25" customHeight="1">
      <c r="F636" s="48"/>
      <c r="G636" s="48"/>
    </row>
    <row r="637" spans="6:7" ht="14.25" customHeight="1">
      <c r="F637" s="48"/>
      <c r="G637" s="48"/>
    </row>
    <row r="638" spans="6:7" ht="14.25" customHeight="1">
      <c r="F638" s="48"/>
      <c r="G638" s="48"/>
    </row>
    <row r="639" spans="6:7" ht="14.25" customHeight="1">
      <c r="F639" s="48"/>
      <c r="G639" s="48"/>
    </row>
    <row r="640" spans="6:7" ht="14.25" customHeight="1">
      <c r="F640" s="48"/>
      <c r="G640" s="48"/>
    </row>
    <row r="641" spans="6:7" ht="14.25" customHeight="1">
      <c r="F641" s="48"/>
      <c r="G641" s="48"/>
    </row>
    <row r="642" spans="6:7" ht="14.25" customHeight="1">
      <c r="F642" s="48"/>
      <c r="G642" s="48"/>
    </row>
    <row r="643" spans="6:7" ht="14.25" customHeight="1">
      <c r="F643" s="48"/>
      <c r="G643" s="48"/>
    </row>
    <row r="644" spans="6:7" ht="14.25" customHeight="1">
      <c r="F644" s="48"/>
      <c r="G644" s="48"/>
    </row>
    <row r="645" spans="6:7" ht="14.25" customHeight="1">
      <c r="F645" s="48"/>
      <c r="G645" s="48"/>
    </row>
    <row r="646" spans="6:7" ht="14.25" customHeight="1">
      <c r="F646" s="48"/>
      <c r="G646" s="48"/>
    </row>
    <row r="647" spans="6:7" ht="14.25" customHeight="1">
      <c r="F647" s="48"/>
      <c r="G647" s="48"/>
    </row>
    <row r="648" spans="6:7" ht="14.25" customHeight="1">
      <c r="F648" s="48"/>
      <c r="G648" s="48"/>
    </row>
    <row r="649" spans="6:7" ht="14.25" customHeight="1">
      <c r="F649" s="48"/>
      <c r="G649" s="48"/>
    </row>
    <row r="650" spans="6:7" ht="14.25" customHeight="1">
      <c r="F650" s="48"/>
      <c r="G650" s="48"/>
    </row>
    <row r="651" spans="6:7" ht="14.25" customHeight="1">
      <c r="F651" s="48"/>
      <c r="G651" s="48"/>
    </row>
    <row r="652" spans="6:7" ht="14.25" customHeight="1">
      <c r="F652" s="48"/>
      <c r="G652" s="48"/>
    </row>
    <row r="653" spans="6:7" ht="14.25" customHeight="1">
      <c r="F653" s="48"/>
      <c r="G653" s="48"/>
    </row>
    <row r="654" spans="6:7" ht="14.25" customHeight="1">
      <c r="F654" s="48"/>
      <c r="G654" s="48"/>
    </row>
    <row r="655" spans="6:7" ht="14.25" customHeight="1">
      <c r="F655" s="48"/>
      <c r="G655" s="48"/>
    </row>
    <row r="656" spans="6:7" ht="14.25" customHeight="1">
      <c r="F656" s="48"/>
      <c r="G656" s="48"/>
    </row>
    <row r="657" spans="6:7" ht="14.25" customHeight="1">
      <c r="F657" s="48"/>
      <c r="G657" s="48"/>
    </row>
    <row r="658" spans="6:7" ht="14.25" customHeight="1">
      <c r="F658" s="48"/>
      <c r="G658" s="48"/>
    </row>
    <row r="659" spans="6:7" ht="14.25" customHeight="1">
      <c r="F659" s="48"/>
      <c r="G659" s="48"/>
    </row>
    <row r="660" spans="6:7" ht="14.25" customHeight="1">
      <c r="F660" s="48"/>
      <c r="G660" s="48"/>
    </row>
    <row r="661" spans="6:7" ht="14.25" customHeight="1">
      <c r="F661" s="48"/>
      <c r="G661" s="48"/>
    </row>
    <row r="662" spans="6:7" ht="14.25" customHeight="1">
      <c r="F662" s="48"/>
      <c r="G662" s="48"/>
    </row>
    <row r="663" spans="6:7" ht="14.25" customHeight="1">
      <c r="F663" s="48"/>
      <c r="G663" s="48"/>
    </row>
    <row r="664" spans="6:7" ht="14.25" customHeight="1">
      <c r="F664" s="48"/>
      <c r="G664" s="48"/>
    </row>
    <row r="665" spans="6:7" ht="14.25" customHeight="1">
      <c r="F665" s="48"/>
      <c r="G665" s="48"/>
    </row>
    <row r="666" spans="6:7" ht="14.25" customHeight="1">
      <c r="F666" s="48"/>
      <c r="G666" s="48"/>
    </row>
    <row r="667" spans="6:7" ht="14.25" customHeight="1">
      <c r="F667" s="48"/>
      <c r="G667" s="48"/>
    </row>
    <row r="668" spans="6:7" ht="14.25" customHeight="1">
      <c r="F668" s="48"/>
      <c r="G668" s="48"/>
    </row>
    <row r="669" spans="6:7" ht="14.25" customHeight="1">
      <c r="F669" s="48"/>
      <c r="G669" s="48"/>
    </row>
    <row r="670" spans="6:7" ht="14.25" customHeight="1">
      <c r="F670" s="48"/>
      <c r="G670" s="48"/>
    </row>
    <row r="671" spans="6:7" ht="14.25" customHeight="1">
      <c r="F671" s="48"/>
      <c r="G671" s="48"/>
    </row>
    <row r="672" spans="6:7" ht="14.25" customHeight="1">
      <c r="F672" s="48"/>
      <c r="G672" s="48"/>
    </row>
    <row r="673" spans="6:7" ht="14.25" customHeight="1">
      <c r="F673" s="48"/>
      <c r="G673" s="48"/>
    </row>
    <row r="674" spans="6:7" ht="14.25" customHeight="1">
      <c r="F674" s="48"/>
      <c r="G674" s="48"/>
    </row>
    <row r="675" spans="6:7" ht="14.25" customHeight="1">
      <c r="F675" s="48"/>
      <c r="G675" s="48"/>
    </row>
    <row r="676" spans="6:7" ht="14.25" customHeight="1">
      <c r="F676" s="48"/>
      <c r="G676" s="48"/>
    </row>
    <row r="677" spans="6:7" ht="14.25" customHeight="1">
      <c r="F677" s="48"/>
      <c r="G677" s="48"/>
    </row>
    <row r="678" spans="6:7" ht="14.25" customHeight="1">
      <c r="F678" s="48"/>
      <c r="G678" s="48"/>
    </row>
    <row r="679" spans="6:7" ht="14.25" customHeight="1">
      <c r="F679" s="48"/>
      <c r="G679" s="48"/>
    </row>
    <row r="680" spans="6:7" ht="14.25" customHeight="1">
      <c r="F680" s="48"/>
      <c r="G680" s="48"/>
    </row>
    <row r="681" spans="6:7" ht="14.25" customHeight="1">
      <c r="F681" s="48"/>
      <c r="G681" s="48"/>
    </row>
    <row r="682" spans="6:7" ht="14.25" customHeight="1">
      <c r="F682" s="48"/>
      <c r="G682" s="48"/>
    </row>
    <row r="683" spans="6:7" ht="14.25" customHeight="1">
      <c r="F683" s="48"/>
      <c r="G683" s="48"/>
    </row>
    <row r="684" spans="6:7" ht="14.25" customHeight="1">
      <c r="F684" s="48"/>
      <c r="G684" s="48"/>
    </row>
    <row r="685" spans="6:7" ht="14.25" customHeight="1">
      <c r="F685" s="48"/>
      <c r="G685" s="48"/>
    </row>
    <row r="686" spans="6:7" ht="14.25" customHeight="1">
      <c r="F686" s="48"/>
      <c r="G686" s="48"/>
    </row>
    <row r="687" spans="6:7" ht="14.25" customHeight="1">
      <c r="F687" s="48"/>
      <c r="G687" s="48"/>
    </row>
    <row r="688" spans="6:7" ht="14.25" customHeight="1">
      <c r="F688" s="48"/>
      <c r="G688" s="48"/>
    </row>
    <row r="689" spans="6:7" ht="14.25" customHeight="1">
      <c r="F689" s="48"/>
      <c r="G689" s="48"/>
    </row>
    <row r="690" spans="6:7" ht="14.25" customHeight="1">
      <c r="F690" s="48"/>
      <c r="G690" s="48"/>
    </row>
    <row r="691" spans="6:7" ht="14.25" customHeight="1">
      <c r="F691" s="48"/>
      <c r="G691" s="48"/>
    </row>
    <row r="692" spans="6:7" ht="14.25" customHeight="1">
      <c r="F692" s="48"/>
      <c r="G692" s="48"/>
    </row>
    <row r="693" spans="6:7" ht="14.25" customHeight="1">
      <c r="F693" s="48"/>
      <c r="G693" s="48"/>
    </row>
    <row r="694" spans="6:7" ht="14.25" customHeight="1">
      <c r="F694" s="48"/>
      <c r="G694" s="48"/>
    </row>
    <row r="695" spans="6:7" ht="14.25" customHeight="1">
      <c r="F695" s="48"/>
      <c r="G695" s="48"/>
    </row>
    <row r="696" spans="6:7" ht="14.25" customHeight="1">
      <c r="F696" s="48"/>
      <c r="G696" s="48"/>
    </row>
    <row r="697" spans="6:7" ht="14.25" customHeight="1">
      <c r="F697" s="48"/>
      <c r="G697" s="48"/>
    </row>
    <row r="698" spans="6:7" ht="14.25" customHeight="1">
      <c r="F698" s="48"/>
      <c r="G698" s="48"/>
    </row>
    <row r="699" spans="6:7" ht="14.25" customHeight="1">
      <c r="F699" s="48"/>
      <c r="G699" s="48"/>
    </row>
    <row r="700" spans="6:7" ht="14.25" customHeight="1">
      <c r="F700" s="48"/>
      <c r="G700" s="48"/>
    </row>
    <row r="701" spans="6:7" ht="14.25" customHeight="1">
      <c r="F701" s="48"/>
      <c r="G701" s="48"/>
    </row>
    <row r="702" spans="6:7" ht="14.25" customHeight="1">
      <c r="F702" s="48"/>
      <c r="G702" s="48"/>
    </row>
    <row r="703" spans="6:7" ht="14.25" customHeight="1">
      <c r="F703" s="48"/>
      <c r="G703" s="48"/>
    </row>
    <row r="704" spans="6:7" ht="14.25" customHeight="1">
      <c r="F704" s="48"/>
      <c r="G704" s="48"/>
    </row>
    <row r="705" spans="6:7" ht="14.25" customHeight="1">
      <c r="F705" s="48"/>
      <c r="G705" s="48"/>
    </row>
    <row r="706" spans="6:7" ht="14.25" customHeight="1">
      <c r="F706" s="48"/>
      <c r="G706" s="48"/>
    </row>
    <row r="707" spans="6:7" ht="14.25" customHeight="1">
      <c r="F707" s="48"/>
      <c r="G707" s="48"/>
    </row>
    <row r="708" spans="6:7" ht="14.25" customHeight="1">
      <c r="F708" s="48"/>
      <c r="G708" s="48"/>
    </row>
    <row r="709" spans="6:7" ht="14.25" customHeight="1">
      <c r="F709" s="48"/>
      <c r="G709" s="48"/>
    </row>
    <row r="710" spans="6:7" ht="14.25" customHeight="1">
      <c r="F710" s="48"/>
      <c r="G710" s="48"/>
    </row>
    <row r="711" spans="6:7" ht="14.25" customHeight="1">
      <c r="F711" s="48"/>
      <c r="G711" s="48"/>
    </row>
    <row r="712" spans="6:7" ht="14.25" customHeight="1">
      <c r="F712" s="48"/>
      <c r="G712" s="48"/>
    </row>
    <row r="713" spans="6:7" ht="14.25" customHeight="1">
      <c r="F713" s="48"/>
      <c r="G713" s="48"/>
    </row>
    <row r="714" spans="6:7" ht="14.25" customHeight="1">
      <c r="F714" s="48"/>
      <c r="G714" s="48"/>
    </row>
    <row r="715" spans="6:7" ht="14.25" customHeight="1">
      <c r="F715" s="48"/>
      <c r="G715" s="48"/>
    </row>
    <row r="716" spans="6:7" ht="14.25" customHeight="1">
      <c r="F716" s="48"/>
      <c r="G716" s="48"/>
    </row>
    <row r="717" spans="6:7" ht="14.25" customHeight="1">
      <c r="F717" s="48"/>
      <c r="G717" s="48"/>
    </row>
    <row r="718" spans="6:7" ht="14.25" customHeight="1">
      <c r="F718" s="48"/>
      <c r="G718" s="48"/>
    </row>
    <row r="719" spans="6:7" ht="14.25" customHeight="1">
      <c r="F719" s="48"/>
      <c r="G719" s="48"/>
    </row>
    <row r="720" spans="6:7" ht="14.25" customHeight="1">
      <c r="F720" s="48"/>
      <c r="G720" s="48"/>
    </row>
    <row r="721" spans="6:7" ht="14.25" customHeight="1">
      <c r="F721" s="48"/>
      <c r="G721" s="48"/>
    </row>
    <row r="722" spans="6:7" ht="14.25" customHeight="1">
      <c r="F722" s="48"/>
      <c r="G722" s="48"/>
    </row>
    <row r="723" spans="6:7" ht="14.25" customHeight="1">
      <c r="F723" s="48"/>
      <c r="G723" s="48"/>
    </row>
    <row r="724" spans="6:7" ht="14.25" customHeight="1">
      <c r="F724" s="48"/>
      <c r="G724" s="48"/>
    </row>
    <row r="725" spans="6:7" ht="14.25" customHeight="1">
      <c r="F725" s="48"/>
      <c r="G725" s="48"/>
    </row>
    <row r="726" spans="6:7" ht="14.25" customHeight="1">
      <c r="F726" s="48"/>
      <c r="G726" s="48"/>
    </row>
    <row r="727" spans="6:7" ht="14.25" customHeight="1">
      <c r="F727" s="48"/>
      <c r="G727" s="48"/>
    </row>
    <row r="728" spans="6:7" ht="14.25" customHeight="1">
      <c r="F728" s="48"/>
      <c r="G728" s="48"/>
    </row>
    <row r="729" spans="6:7" ht="14.25" customHeight="1">
      <c r="F729" s="48"/>
      <c r="G729" s="48"/>
    </row>
    <row r="730" spans="6:7" ht="14.25" customHeight="1">
      <c r="F730" s="48"/>
      <c r="G730" s="48"/>
    </row>
    <row r="731" spans="6:7" ht="14.25" customHeight="1">
      <c r="F731" s="48"/>
      <c r="G731" s="48"/>
    </row>
    <row r="732" spans="6:7" ht="14.25" customHeight="1">
      <c r="F732" s="48"/>
      <c r="G732" s="48"/>
    </row>
    <row r="733" spans="6:7" ht="14.25" customHeight="1">
      <c r="F733" s="48"/>
      <c r="G733" s="48"/>
    </row>
    <row r="734" spans="6:7" ht="14.25" customHeight="1">
      <c r="F734" s="48"/>
      <c r="G734" s="48"/>
    </row>
    <row r="735" spans="6:7" ht="14.25" customHeight="1">
      <c r="F735" s="48"/>
      <c r="G735" s="48"/>
    </row>
    <row r="736" spans="6:7" ht="14.25" customHeight="1">
      <c r="F736" s="48"/>
      <c r="G736" s="48"/>
    </row>
    <row r="737" spans="6:7" ht="14.25" customHeight="1">
      <c r="F737" s="48"/>
      <c r="G737" s="48"/>
    </row>
    <row r="738" spans="6:7" ht="14.25" customHeight="1">
      <c r="F738" s="48"/>
      <c r="G738" s="48"/>
    </row>
    <row r="739" spans="6:7" ht="14.25" customHeight="1">
      <c r="F739" s="48"/>
      <c r="G739" s="48"/>
    </row>
    <row r="740" spans="6:7" ht="14.25" customHeight="1">
      <c r="F740" s="48"/>
      <c r="G740" s="48"/>
    </row>
    <row r="741" spans="6:7" ht="14.25" customHeight="1">
      <c r="F741" s="48"/>
      <c r="G741" s="48"/>
    </row>
    <row r="742" spans="6:7" ht="14.25" customHeight="1">
      <c r="F742" s="48"/>
      <c r="G742" s="48"/>
    </row>
    <row r="743" spans="6:7" ht="14.25" customHeight="1">
      <c r="F743" s="48"/>
      <c r="G743" s="48"/>
    </row>
    <row r="744" spans="6:7" ht="14.25" customHeight="1">
      <c r="F744" s="48"/>
      <c r="G744" s="48"/>
    </row>
    <row r="745" spans="6:7" ht="14.25" customHeight="1">
      <c r="F745" s="48"/>
      <c r="G745" s="48"/>
    </row>
    <row r="746" spans="6:7" ht="14.25" customHeight="1">
      <c r="F746" s="48"/>
      <c r="G746" s="48"/>
    </row>
    <row r="747" spans="6:7" ht="14.25" customHeight="1">
      <c r="F747" s="48"/>
      <c r="G747" s="48"/>
    </row>
    <row r="748" spans="6:7" ht="14.25" customHeight="1">
      <c r="F748" s="48"/>
      <c r="G748" s="48"/>
    </row>
    <row r="749" spans="6:7" ht="14.25" customHeight="1">
      <c r="F749" s="48"/>
      <c r="G749" s="48"/>
    </row>
    <row r="750" spans="6:7" ht="14.25" customHeight="1">
      <c r="F750" s="48"/>
      <c r="G750" s="48"/>
    </row>
    <row r="751" spans="6:7" ht="14.25" customHeight="1">
      <c r="F751" s="48"/>
      <c r="G751" s="48"/>
    </row>
    <row r="752" spans="6:7" ht="14.25" customHeight="1">
      <c r="F752" s="48"/>
      <c r="G752" s="48"/>
    </row>
    <row r="753" spans="6:7" ht="14.25" customHeight="1">
      <c r="F753" s="48"/>
      <c r="G753" s="48"/>
    </row>
    <row r="754" spans="6:7" ht="14.25" customHeight="1">
      <c r="F754" s="48"/>
      <c r="G754" s="48"/>
    </row>
    <row r="755" spans="6:7" ht="14.25" customHeight="1">
      <c r="F755" s="48"/>
      <c r="G755" s="48"/>
    </row>
    <row r="756" spans="6:7" ht="14.25" customHeight="1">
      <c r="F756" s="48"/>
      <c r="G756" s="48"/>
    </row>
    <row r="757" spans="6:7" ht="14.25" customHeight="1">
      <c r="F757" s="48"/>
      <c r="G757" s="48"/>
    </row>
    <row r="758" spans="6:7" ht="14.25" customHeight="1">
      <c r="F758" s="48"/>
      <c r="G758" s="48"/>
    </row>
    <row r="759" spans="6:7" ht="14.25" customHeight="1">
      <c r="F759" s="48"/>
      <c r="G759" s="48"/>
    </row>
    <row r="760" spans="6:7" ht="14.25" customHeight="1">
      <c r="F760" s="48"/>
      <c r="G760" s="48"/>
    </row>
    <row r="761" spans="6:7" ht="14.25" customHeight="1">
      <c r="F761" s="48"/>
      <c r="G761" s="48"/>
    </row>
    <row r="762" spans="6:7" ht="14.25" customHeight="1">
      <c r="F762" s="48"/>
      <c r="G762" s="48"/>
    </row>
    <row r="763" spans="6:7" ht="14.25" customHeight="1">
      <c r="F763" s="48"/>
      <c r="G763" s="48"/>
    </row>
    <row r="764" spans="6:7" ht="14.25" customHeight="1">
      <c r="F764" s="48"/>
      <c r="G764" s="48"/>
    </row>
    <row r="765" spans="6:7" ht="14.25" customHeight="1">
      <c r="F765" s="48"/>
      <c r="G765" s="48"/>
    </row>
    <row r="766" spans="6:7" ht="14.25" customHeight="1">
      <c r="F766" s="48"/>
      <c r="G766" s="48"/>
    </row>
    <row r="767" spans="6:7" ht="14.25" customHeight="1">
      <c r="F767" s="48"/>
      <c r="G767" s="48"/>
    </row>
    <row r="768" spans="6:7" ht="14.25" customHeight="1">
      <c r="F768" s="48"/>
      <c r="G768" s="48"/>
    </row>
    <row r="769" spans="6:7" ht="14.25" customHeight="1">
      <c r="F769" s="48"/>
      <c r="G769" s="48"/>
    </row>
    <row r="770" spans="6:7" ht="14.25" customHeight="1">
      <c r="F770" s="48"/>
      <c r="G770" s="48"/>
    </row>
    <row r="771" spans="6:7" ht="14.25" customHeight="1">
      <c r="F771" s="48"/>
      <c r="G771" s="48"/>
    </row>
    <row r="772" spans="6:7" ht="14.25" customHeight="1">
      <c r="F772" s="48"/>
      <c r="G772" s="48"/>
    </row>
    <row r="773" spans="6:7" ht="14.25" customHeight="1">
      <c r="F773" s="48"/>
      <c r="G773" s="48"/>
    </row>
    <row r="774" spans="6:7" ht="14.25" customHeight="1">
      <c r="F774" s="48"/>
      <c r="G774" s="48"/>
    </row>
    <row r="775" spans="6:7" ht="14.25" customHeight="1">
      <c r="F775" s="48"/>
      <c r="G775" s="48"/>
    </row>
    <row r="776" spans="6:7" ht="14.25" customHeight="1">
      <c r="F776" s="48"/>
      <c r="G776" s="48"/>
    </row>
    <row r="777" spans="6:7" ht="14.25" customHeight="1">
      <c r="F777" s="48"/>
      <c r="G777" s="48"/>
    </row>
    <row r="778" spans="6:7" ht="14.25" customHeight="1">
      <c r="F778" s="48"/>
      <c r="G778" s="48"/>
    </row>
    <row r="779" spans="6:7" ht="14.25" customHeight="1">
      <c r="F779" s="48"/>
      <c r="G779" s="48"/>
    </row>
    <row r="780" spans="6:7" ht="14.25" customHeight="1">
      <c r="F780" s="48"/>
      <c r="G780" s="48"/>
    </row>
    <row r="781" spans="6:7" ht="14.25" customHeight="1">
      <c r="F781" s="48"/>
      <c r="G781" s="48"/>
    </row>
    <row r="782" spans="6:7" ht="14.25" customHeight="1">
      <c r="F782" s="48"/>
      <c r="G782" s="48"/>
    </row>
    <row r="783" spans="6:7" ht="14.25" customHeight="1">
      <c r="F783" s="48"/>
      <c r="G783" s="48"/>
    </row>
    <row r="784" spans="6:7" ht="14.25" customHeight="1">
      <c r="F784" s="48"/>
      <c r="G784" s="48"/>
    </row>
    <row r="785" spans="6:7" ht="14.25" customHeight="1">
      <c r="F785" s="48"/>
      <c r="G785" s="48"/>
    </row>
    <row r="786" spans="6:7" ht="14.25" customHeight="1">
      <c r="F786" s="48"/>
      <c r="G786" s="48"/>
    </row>
    <row r="787" spans="6:7" ht="14.25" customHeight="1">
      <c r="F787" s="48"/>
      <c r="G787" s="48"/>
    </row>
    <row r="788" spans="6:7" ht="14.25" customHeight="1">
      <c r="F788" s="48"/>
      <c r="G788" s="48"/>
    </row>
    <row r="789" spans="6:7" ht="14.25" customHeight="1">
      <c r="F789" s="48"/>
      <c r="G789" s="48"/>
    </row>
    <row r="790" spans="6:7" ht="14.25" customHeight="1">
      <c r="F790" s="48"/>
      <c r="G790" s="48"/>
    </row>
    <row r="791" spans="6:7" ht="14.25" customHeight="1">
      <c r="F791" s="48"/>
      <c r="G791" s="48"/>
    </row>
    <row r="792" spans="6:7" ht="14.25" customHeight="1">
      <c r="F792" s="48"/>
      <c r="G792" s="48"/>
    </row>
    <row r="793" spans="6:7" ht="14.25" customHeight="1">
      <c r="F793" s="48"/>
      <c r="G793" s="48"/>
    </row>
    <row r="794" spans="6:7" ht="14.25" customHeight="1">
      <c r="F794" s="48"/>
      <c r="G794" s="48"/>
    </row>
    <row r="795" spans="6:7" ht="14.25" customHeight="1">
      <c r="F795" s="48"/>
      <c r="G795" s="48"/>
    </row>
    <row r="796" spans="6:7" ht="14.25" customHeight="1">
      <c r="F796" s="48"/>
      <c r="G796" s="48"/>
    </row>
    <row r="797" spans="6:7" ht="14.25" customHeight="1">
      <c r="F797" s="48"/>
      <c r="G797" s="48"/>
    </row>
    <row r="798" spans="6:7" ht="14.25" customHeight="1">
      <c r="F798" s="48"/>
      <c r="G798" s="48"/>
    </row>
    <row r="799" spans="6:7" ht="14.25" customHeight="1">
      <c r="F799" s="48"/>
      <c r="G799" s="48"/>
    </row>
    <row r="800" spans="6:7" ht="14.25" customHeight="1">
      <c r="F800" s="48"/>
      <c r="G800" s="48"/>
    </row>
    <row r="801" spans="6:7" ht="14.25" customHeight="1">
      <c r="F801" s="48"/>
      <c r="G801" s="48"/>
    </row>
    <row r="802" spans="6:7" ht="14.25" customHeight="1">
      <c r="F802" s="48"/>
      <c r="G802" s="48"/>
    </row>
    <row r="803" spans="6:7" ht="14.25" customHeight="1">
      <c r="F803" s="48"/>
      <c r="G803" s="48"/>
    </row>
    <row r="804" spans="6:7" ht="14.25" customHeight="1">
      <c r="F804" s="48"/>
      <c r="G804" s="48"/>
    </row>
    <row r="805" spans="6:7" ht="14.25" customHeight="1">
      <c r="F805" s="48"/>
      <c r="G805" s="48"/>
    </row>
    <row r="806" spans="6:7" ht="14.25" customHeight="1">
      <c r="F806" s="48"/>
      <c r="G806" s="48"/>
    </row>
    <row r="807" spans="6:7" ht="14.25" customHeight="1">
      <c r="F807" s="48"/>
      <c r="G807" s="48"/>
    </row>
    <row r="808" spans="6:7" ht="14.25" customHeight="1">
      <c r="F808" s="48"/>
      <c r="G808" s="48"/>
    </row>
    <row r="809" spans="6:7" ht="14.25" customHeight="1">
      <c r="F809" s="48"/>
      <c r="G809" s="48"/>
    </row>
    <row r="810" spans="6:7" ht="14.25" customHeight="1">
      <c r="F810" s="48"/>
      <c r="G810" s="48"/>
    </row>
    <row r="811" spans="6:7" ht="14.25" customHeight="1">
      <c r="F811" s="48"/>
      <c r="G811" s="48"/>
    </row>
    <row r="812" spans="6:7" ht="14.25" customHeight="1">
      <c r="F812" s="48"/>
      <c r="G812" s="48"/>
    </row>
    <row r="813" spans="6:7" ht="14.25" customHeight="1">
      <c r="F813" s="48"/>
      <c r="G813" s="48"/>
    </row>
    <row r="814" spans="6:7" ht="14.25" customHeight="1">
      <c r="F814" s="48"/>
      <c r="G814" s="48"/>
    </row>
    <row r="815" spans="6:7" ht="14.25" customHeight="1">
      <c r="F815" s="48"/>
      <c r="G815" s="48"/>
    </row>
    <row r="816" spans="6:7" ht="14.25" customHeight="1">
      <c r="F816" s="48"/>
      <c r="G816" s="48"/>
    </row>
    <row r="817" spans="6:7" ht="14.25" customHeight="1">
      <c r="F817" s="48"/>
      <c r="G817" s="48"/>
    </row>
    <row r="818" spans="6:7" ht="14.25" customHeight="1">
      <c r="F818" s="48"/>
      <c r="G818" s="48"/>
    </row>
    <row r="819" spans="6:7" ht="14.25" customHeight="1">
      <c r="F819" s="48"/>
      <c r="G819" s="48"/>
    </row>
    <row r="820" spans="6:7" ht="14.25" customHeight="1">
      <c r="F820" s="48"/>
      <c r="G820" s="48"/>
    </row>
    <row r="821" spans="6:7" ht="14.25" customHeight="1">
      <c r="F821" s="48"/>
      <c r="G821" s="48"/>
    </row>
    <row r="822" spans="6:7" ht="14.25" customHeight="1">
      <c r="F822" s="48"/>
      <c r="G822" s="48"/>
    </row>
    <row r="823" spans="6:7" ht="14.25" customHeight="1">
      <c r="F823" s="48"/>
      <c r="G823" s="48"/>
    </row>
    <row r="824" spans="6:7" ht="14.25" customHeight="1">
      <c r="F824" s="48"/>
      <c r="G824" s="48"/>
    </row>
    <row r="825" spans="6:7" ht="14.25" customHeight="1">
      <c r="F825" s="48"/>
      <c r="G825" s="48"/>
    </row>
    <row r="826" spans="6:7" ht="14.25" customHeight="1">
      <c r="F826" s="48"/>
      <c r="G826" s="48"/>
    </row>
    <row r="827" spans="6:7" ht="14.25" customHeight="1">
      <c r="F827" s="48"/>
      <c r="G827" s="48"/>
    </row>
    <row r="828" spans="6:7" ht="14.25" customHeight="1">
      <c r="F828" s="48"/>
      <c r="G828" s="48"/>
    </row>
    <row r="829" spans="6:7" ht="14.25" customHeight="1">
      <c r="F829" s="48"/>
      <c r="G829" s="48"/>
    </row>
    <row r="830" spans="6:7" ht="14.25" customHeight="1">
      <c r="F830" s="48"/>
      <c r="G830" s="48"/>
    </row>
    <row r="831" spans="6:7" ht="14.25" customHeight="1">
      <c r="F831" s="48"/>
      <c r="G831" s="48"/>
    </row>
    <row r="832" spans="6:7" ht="14.25" customHeight="1">
      <c r="F832" s="48"/>
      <c r="G832" s="48"/>
    </row>
    <row r="833" spans="6:7" ht="14.25" customHeight="1">
      <c r="F833" s="48"/>
      <c r="G833" s="48"/>
    </row>
    <row r="834" spans="6:7" ht="14.25" customHeight="1">
      <c r="F834" s="48"/>
      <c r="G834" s="48"/>
    </row>
    <row r="835" spans="6:7" ht="14.25" customHeight="1">
      <c r="F835" s="48"/>
      <c r="G835" s="48"/>
    </row>
    <row r="836" spans="6:7" ht="14.25" customHeight="1">
      <c r="F836" s="48"/>
      <c r="G836" s="48"/>
    </row>
    <row r="837" spans="6:7" ht="14.25" customHeight="1">
      <c r="F837" s="48"/>
      <c r="G837" s="48"/>
    </row>
    <row r="838" spans="6:7" ht="14.25" customHeight="1">
      <c r="F838" s="48"/>
      <c r="G838" s="48"/>
    </row>
    <row r="839" spans="6:7" ht="14.25" customHeight="1">
      <c r="F839" s="48"/>
      <c r="G839" s="48"/>
    </row>
    <row r="840" spans="6:7" ht="14.25" customHeight="1">
      <c r="F840" s="48"/>
      <c r="G840" s="48"/>
    </row>
    <row r="841" spans="6:7" ht="14.25" customHeight="1">
      <c r="F841" s="48"/>
      <c r="G841" s="48"/>
    </row>
    <row r="842" spans="6:7" ht="14.25" customHeight="1">
      <c r="F842" s="48"/>
      <c r="G842" s="48"/>
    </row>
    <row r="843" spans="6:7" ht="14.25" customHeight="1">
      <c r="F843" s="48"/>
      <c r="G843" s="48"/>
    </row>
    <row r="844" spans="6:7" ht="14.25" customHeight="1">
      <c r="F844" s="48"/>
      <c r="G844" s="48"/>
    </row>
    <row r="845" spans="6:7" ht="14.25" customHeight="1">
      <c r="F845" s="48"/>
      <c r="G845" s="48"/>
    </row>
    <row r="846" spans="6:7" ht="14.25" customHeight="1">
      <c r="F846" s="48"/>
      <c r="G846" s="48"/>
    </row>
    <row r="847" spans="6:7" ht="14.25" customHeight="1">
      <c r="F847" s="48"/>
      <c r="G847" s="48"/>
    </row>
    <row r="848" spans="6:7" ht="14.25" customHeight="1">
      <c r="F848" s="48"/>
      <c r="G848" s="48"/>
    </row>
    <row r="849" spans="6:7" ht="14.25" customHeight="1">
      <c r="F849" s="48"/>
      <c r="G849" s="48"/>
    </row>
    <row r="850" spans="6:7" ht="14.25" customHeight="1">
      <c r="F850" s="48"/>
      <c r="G850" s="48"/>
    </row>
    <row r="851" spans="6:7" ht="14.25" customHeight="1">
      <c r="F851" s="48"/>
      <c r="G851" s="48"/>
    </row>
    <row r="852" spans="6:7" ht="14.25" customHeight="1">
      <c r="F852" s="48"/>
      <c r="G852" s="48"/>
    </row>
    <row r="853" spans="6:7" ht="14.25" customHeight="1">
      <c r="F853" s="48"/>
      <c r="G853" s="48"/>
    </row>
    <row r="854" spans="6:7" ht="14.25" customHeight="1">
      <c r="F854" s="48"/>
      <c r="G854" s="48"/>
    </row>
    <row r="855" spans="6:7" ht="14.25" customHeight="1">
      <c r="F855" s="48"/>
      <c r="G855" s="48"/>
    </row>
    <row r="856" spans="6:7" ht="14.25" customHeight="1">
      <c r="F856" s="48"/>
      <c r="G856" s="48"/>
    </row>
    <row r="857" spans="6:7" ht="14.25" customHeight="1">
      <c r="F857" s="48"/>
      <c r="G857" s="48"/>
    </row>
    <row r="858" spans="6:7" ht="14.25" customHeight="1">
      <c r="F858" s="48"/>
      <c r="G858" s="48"/>
    </row>
    <row r="859" spans="6:7" ht="14.25" customHeight="1">
      <c r="F859" s="48"/>
      <c r="G859" s="48"/>
    </row>
    <row r="860" spans="6:7" ht="14.25" customHeight="1">
      <c r="F860" s="48"/>
      <c r="G860" s="48"/>
    </row>
    <row r="861" spans="6:7" ht="14.25" customHeight="1">
      <c r="F861" s="48"/>
      <c r="G861" s="48"/>
    </row>
    <row r="862" spans="6:7" ht="14.25" customHeight="1">
      <c r="F862" s="48"/>
      <c r="G862" s="48"/>
    </row>
    <row r="863" spans="6:7" ht="14.25" customHeight="1">
      <c r="F863" s="48"/>
      <c r="G863" s="48"/>
    </row>
    <row r="864" spans="6:7" ht="14.25" customHeight="1">
      <c r="F864" s="48"/>
      <c r="G864" s="48"/>
    </row>
    <row r="865" spans="6:7" ht="14.25" customHeight="1">
      <c r="F865" s="48"/>
      <c r="G865" s="48"/>
    </row>
    <row r="866" spans="6:7" ht="14.25" customHeight="1">
      <c r="F866" s="48"/>
      <c r="G866" s="48"/>
    </row>
    <row r="867" spans="6:7" ht="14.25" customHeight="1">
      <c r="F867" s="48"/>
      <c r="G867" s="48"/>
    </row>
    <row r="868" spans="6:7" ht="14.25" customHeight="1">
      <c r="F868" s="48"/>
      <c r="G868" s="48"/>
    </row>
    <row r="869" spans="6:7" ht="14.25" customHeight="1">
      <c r="F869" s="48"/>
      <c r="G869" s="48"/>
    </row>
    <row r="870" spans="6:7" ht="14.25" customHeight="1">
      <c r="F870" s="48"/>
      <c r="G870" s="48"/>
    </row>
    <row r="871" spans="6:7" ht="14.25" customHeight="1">
      <c r="F871" s="48"/>
      <c r="G871" s="48"/>
    </row>
    <row r="872" spans="6:7" ht="14.25" customHeight="1">
      <c r="F872" s="48"/>
      <c r="G872" s="48"/>
    </row>
    <row r="873" spans="6:7" ht="14.25" customHeight="1">
      <c r="F873" s="48"/>
      <c r="G873" s="48"/>
    </row>
    <row r="874" spans="6:7" ht="14.25" customHeight="1">
      <c r="F874" s="48"/>
      <c r="G874" s="48"/>
    </row>
    <row r="875" spans="6:7" ht="14.25" customHeight="1">
      <c r="F875" s="48"/>
      <c r="G875" s="48"/>
    </row>
    <row r="876" spans="6:7" ht="14.25" customHeight="1">
      <c r="F876" s="48"/>
      <c r="G876" s="48"/>
    </row>
    <row r="877" spans="6:7" ht="14.25" customHeight="1">
      <c r="F877" s="48"/>
      <c r="G877" s="48"/>
    </row>
    <row r="878" spans="6:7" ht="14.25" customHeight="1">
      <c r="F878" s="48"/>
      <c r="G878" s="48"/>
    </row>
    <row r="879" spans="6:7" ht="14.25" customHeight="1">
      <c r="F879" s="48"/>
      <c r="G879" s="48"/>
    </row>
    <row r="880" spans="6:7" ht="14.25" customHeight="1">
      <c r="F880" s="48"/>
      <c r="G880" s="48"/>
    </row>
    <row r="881" spans="6:7" ht="14.25" customHeight="1">
      <c r="F881" s="48"/>
      <c r="G881" s="48"/>
    </row>
    <row r="882" spans="6:7" ht="14.25" customHeight="1">
      <c r="F882" s="48"/>
      <c r="G882" s="48"/>
    </row>
    <row r="883" spans="6:7" ht="14.25" customHeight="1">
      <c r="F883" s="48"/>
      <c r="G883" s="48"/>
    </row>
    <row r="884" spans="6:7" ht="14.25" customHeight="1">
      <c r="F884" s="48"/>
      <c r="G884" s="48"/>
    </row>
    <row r="885" spans="6:7" ht="14.25" customHeight="1">
      <c r="F885" s="48"/>
      <c r="G885" s="48"/>
    </row>
    <row r="886" spans="6:7" ht="14.25" customHeight="1">
      <c r="F886" s="48"/>
      <c r="G886" s="48"/>
    </row>
    <row r="887" spans="6:7" ht="14.25" customHeight="1">
      <c r="F887" s="48"/>
      <c r="G887" s="48"/>
    </row>
    <row r="888" spans="6:7" ht="14.25" customHeight="1">
      <c r="F888" s="48"/>
      <c r="G888" s="48"/>
    </row>
    <row r="889" spans="6:7" ht="14.25" customHeight="1">
      <c r="F889" s="48"/>
      <c r="G889" s="48"/>
    </row>
    <row r="890" spans="6:7" ht="14.25" customHeight="1">
      <c r="F890" s="48"/>
      <c r="G890" s="48"/>
    </row>
    <row r="891" spans="6:7" ht="14.25" customHeight="1">
      <c r="F891" s="48"/>
      <c r="G891" s="48"/>
    </row>
    <row r="892" spans="6:7" ht="14.25" customHeight="1">
      <c r="F892" s="48"/>
      <c r="G892" s="48"/>
    </row>
    <row r="893" spans="6:7" ht="14.25" customHeight="1">
      <c r="F893" s="48"/>
      <c r="G893" s="48"/>
    </row>
    <row r="894" spans="6:7" ht="14.25" customHeight="1">
      <c r="F894" s="48"/>
      <c r="G894" s="48"/>
    </row>
    <row r="895" spans="6:7" ht="14.25" customHeight="1">
      <c r="F895" s="48"/>
      <c r="G895" s="48"/>
    </row>
    <row r="896" spans="6:7" ht="14.25" customHeight="1">
      <c r="F896" s="48"/>
      <c r="G896" s="48"/>
    </row>
    <row r="897" spans="6:7" ht="14.25" customHeight="1">
      <c r="F897" s="48"/>
      <c r="G897" s="48"/>
    </row>
    <row r="898" spans="6:7" ht="14.25" customHeight="1">
      <c r="F898" s="48"/>
      <c r="G898" s="48"/>
    </row>
    <row r="899" spans="6:7" ht="14.25" customHeight="1">
      <c r="F899" s="48"/>
      <c r="G899" s="48"/>
    </row>
    <row r="900" spans="6:7" ht="14.25" customHeight="1">
      <c r="F900" s="48"/>
      <c r="G900" s="48"/>
    </row>
    <row r="901" spans="6:7" ht="14.25" customHeight="1">
      <c r="F901" s="48"/>
      <c r="G901" s="48"/>
    </row>
    <row r="902" spans="6:7" ht="14.25" customHeight="1">
      <c r="F902" s="48"/>
      <c r="G902" s="48"/>
    </row>
    <row r="903" spans="6:7" ht="14.25" customHeight="1">
      <c r="F903" s="48"/>
      <c r="G903" s="48"/>
    </row>
    <row r="904" spans="6:7" ht="14.25" customHeight="1">
      <c r="F904" s="48"/>
      <c r="G904" s="48"/>
    </row>
    <row r="905" spans="6:7" ht="14.25" customHeight="1">
      <c r="F905" s="48"/>
      <c r="G905" s="48"/>
    </row>
    <row r="906" spans="6:7" ht="14.25" customHeight="1">
      <c r="F906" s="48"/>
      <c r="G906" s="48"/>
    </row>
    <row r="907" spans="6:7" ht="14.25" customHeight="1">
      <c r="F907" s="48"/>
      <c r="G907" s="48"/>
    </row>
    <row r="908" spans="6:7" ht="14.25" customHeight="1">
      <c r="F908" s="48"/>
      <c r="G908" s="48"/>
    </row>
    <row r="909" spans="6:7" ht="14.25" customHeight="1">
      <c r="F909" s="48"/>
      <c r="G909" s="48"/>
    </row>
    <row r="910" spans="6:7" ht="14.25" customHeight="1">
      <c r="F910" s="48"/>
      <c r="G910" s="48"/>
    </row>
    <row r="911" spans="6:7" ht="14.25" customHeight="1">
      <c r="F911" s="48"/>
      <c r="G911" s="48"/>
    </row>
    <row r="912" spans="6:7" ht="14.25" customHeight="1">
      <c r="F912" s="48"/>
      <c r="G912" s="48"/>
    </row>
    <row r="913" spans="6:7" ht="14.25" customHeight="1">
      <c r="F913" s="48"/>
      <c r="G913" s="48"/>
    </row>
    <row r="914" spans="6:7" ht="14.25" customHeight="1">
      <c r="F914" s="48"/>
      <c r="G914" s="48"/>
    </row>
    <row r="915" spans="6:7" ht="14.25" customHeight="1">
      <c r="F915" s="48"/>
      <c r="G915" s="48"/>
    </row>
    <row r="916" spans="6:7" ht="14.25" customHeight="1">
      <c r="F916" s="48"/>
      <c r="G916" s="48"/>
    </row>
    <row r="917" spans="6:7" ht="14.25" customHeight="1">
      <c r="F917" s="48"/>
      <c r="G917" s="48"/>
    </row>
    <row r="918" spans="6:7" ht="14.25" customHeight="1">
      <c r="F918" s="48"/>
      <c r="G918" s="48"/>
    </row>
    <row r="919" spans="6:7" ht="14.25" customHeight="1">
      <c r="F919" s="48"/>
      <c r="G919" s="48"/>
    </row>
    <row r="920" spans="6:7" ht="14.25" customHeight="1">
      <c r="F920" s="48"/>
      <c r="G920" s="48"/>
    </row>
    <row r="921" spans="6:7" ht="14.25" customHeight="1">
      <c r="F921" s="48"/>
      <c r="G921" s="48"/>
    </row>
    <row r="922" spans="6:7" ht="14.25" customHeight="1">
      <c r="F922" s="48"/>
      <c r="G922" s="48"/>
    </row>
    <row r="923" spans="6:7" ht="14.25" customHeight="1">
      <c r="F923" s="48"/>
      <c r="G923" s="48"/>
    </row>
    <row r="924" spans="6:7" ht="14.25" customHeight="1">
      <c r="F924" s="48"/>
      <c r="G924" s="48"/>
    </row>
    <row r="925" spans="6:7" ht="14.25" customHeight="1">
      <c r="F925" s="48"/>
      <c r="G925" s="48"/>
    </row>
    <row r="926" spans="6:7" ht="14.25" customHeight="1">
      <c r="F926" s="48"/>
      <c r="G926" s="48"/>
    </row>
    <row r="927" spans="6:7" ht="14.25" customHeight="1">
      <c r="F927" s="48"/>
      <c r="G927" s="48"/>
    </row>
    <row r="928" spans="6:7" ht="14.25" customHeight="1">
      <c r="F928" s="48"/>
      <c r="G928" s="48"/>
    </row>
    <row r="929" spans="6:7" ht="14.25" customHeight="1">
      <c r="F929" s="48"/>
      <c r="G929" s="48"/>
    </row>
    <row r="930" spans="6:7" ht="14.25" customHeight="1">
      <c r="F930" s="48"/>
      <c r="G930" s="48"/>
    </row>
    <row r="931" spans="6:7" ht="14.25" customHeight="1">
      <c r="F931" s="48"/>
      <c r="G931" s="48"/>
    </row>
    <row r="932" spans="6:7" ht="14.25" customHeight="1">
      <c r="F932" s="48"/>
      <c r="G932" s="48"/>
    </row>
    <row r="933" spans="6:7" ht="14.25" customHeight="1">
      <c r="F933" s="48"/>
      <c r="G933" s="48"/>
    </row>
    <row r="934" spans="6:7" ht="14.25" customHeight="1">
      <c r="F934" s="48"/>
      <c r="G934" s="48"/>
    </row>
    <row r="935" spans="6:7" ht="14.25" customHeight="1">
      <c r="F935" s="48"/>
      <c r="G935" s="48"/>
    </row>
    <row r="936" spans="6:7" ht="14.25" customHeight="1">
      <c r="F936" s="48"/>
      <c r="G936" s="48"/>
    </row>
    <row r="937" spans="6:7" ht="14.25" customHeight="1">
      <c r="F937" s="48"/>
      <c r="G937" s="48"/>
    </row>
    <row r="938" spans="6:7" ht="14.25" customHeight="1">
      <c r="F938" s="48"/>
      <c r="G938" s="48"/>
    </row>
    <row r="939" spans="6:7" ht="14.25" customHeight="1">
      <c r="F939" s="48"/>
      <c r="G939" s="48"/>
    </row>
    <row r="940" spans="6:7" ht="14.25" customHeight="1">
      <c r="F940" s="48"/>
      <c r="G940" s="48"/>
    </row>
    <row r="941" spans="6:7" ht="14.25" customHeight="1">
      <c r="F941" s="48"/>
      <c r="G941" s="48"/>
    </row>
    <row r="942" spans="6:7" ht="14.25" customHeight="1">
      <c r="F942" s="48"/>
      <c r="G942" s="48"/>
    </row>
    <row r="943" spans="6:7" ht="14.25" customHeight="1">
      <c r="F943" s="48"/>
      <c r="G943" s="48"/>
    </row>
    <row r="944" spans="6:7" ht="14.25" customHeight="1">
      <c r="F944" s="48"/>
      <c r="G944" s="48"/>
    </row>
    <row r="945" spans="6:7" ht="14.25" customHeight="1">
      <c r="F945" s="48"/>
      <c r="G945" s="48"/>
    </row>
    <row r="946" spans="6:7" ht="14.25" customHeight="1">
      <c r="F946" s="48"/>
      <c r="G946" s="48"/>
    </row>
    <row r="947" spans="6:7" ht="14.25" customHeight="1">
      <c r="F947" s="48"/>
      <c r="G947" s="48"/>
    </row>
    <row r="948" spans="6:7" ht="14.25" customHeight="1">
      <c r="F948" s="48"/>
      <c r="G948" s="48"/>
    </row>
    <row r="949" spans="6:7" ht="14.25" customHeight="1">
      <c r="F949" s="48"/>
      <c r="G949" s="48"/>
    </row>
    <row r="950" spans="6:7" ht="14.25" customHeight="1">
      <c r="F950" s="48"/>
      <c r="G950" s="48"/>
    </row>
    <row r="951" spans="6:7" ht="14.25" customHeight="1">
      <c r="F951" s="48"/>
      <c r="G951" s="48"/>
    </row>
    <row r="952" spans="6:7" ht="14.25" customHeight="1">
      <c r="F952" s="48"/>
      <c r="G952" s="48"/>
    </row>
    <row r="953" spans="6:7" ht="14.25" customHeight="1">
      <c r="F953" s="48"/>
      <c r="G953" s="48"/>
    </row>
    <row r="954" spans="6:7" ht="14.25" customHeight="1">
      <c r="F954" s="48"/>
      <c r="G954" s="48"/>
    </row>
    <row r="955" spans="6:7" ht="14.25" customHeight="1">
      <c r="F955" s="48"/>
      <c r="G955" s="48"/>
    </row>
    <row r="956" spans="6:7" ht="14.25" customHeight="1">
      <c r="F956" s="48"/>
      <c r="G956" s="48"/>
    </row>
    <row r="957" spans="6:7" ht="14.25" customHeight="1">
      <c r="F957" s="48"/>
      <c r="G957" s="48"/>
    </row>
    <row r="958" spans="6:7" ht="14.25" customHeight="1">
      <c r="F958" s="48"/>
      <c r="G958" s="48"/>
    </row>
    <row r="959" spans="6:7" ht="14.25" customHeight="1">
      <c r="F959" s="48"/>
      <c r="G959" s="48"/>
    </row>
    <row r="960" spans="6:7" ht="14.25" customHeight="1">
      <c r="F960" s="48"/>
      <c r="G960" s="48"/>
    </row>
    <row r="961" spans="6:7" ht="14.25" customHeight="1">
      <c r="F961" s="48"/>
      <c r="G961" s="48"/>
    </row>
    <row r="962" spans="6:7" ht="14.25" customHeight="1">
      <c r="F962" s="48"/>
      <c r="G962" s="48"/>
    </row>
    <row r="963" spans="6:7" ht="14.25" customHeight="1">
      <c r="F963" s="48"/>
      <c r="G963" s="48"/>
    </row>
    <row r="964" spans="6:7" ht="14.25" customHeight="1">
      <c r="F964" s="48"/>
      <c r="G964" s="48"/>
    </row>
    <row r="965" spans="6:7" ht="14.25" customHeight="1">
      <c r="F965" s="48"/>
      <c r="G965" s="48"/>
    </row>
    <row r="966" spans="6:7" ht="14.25" customHeight="1">
      <c r="F966" s="48"/>
      <c r="G966" s="48"/>
    </row>
    <row r="967" spans="6:7" ht="14.25" customHeight="1">
      <c r="F967" s="48"/>
      <c r="G967" s="48"/>
    </row>
    <row r="968" spans="6:7" ht="14.25" customHeight="1">
      <c r="F968" s="48"/>
      <c r="G968" s="48"/>
    </row>
    <row r="969" spans="6:7" ht="14.25" customHeight="1">
      <c r="F969" s="48"/>
      <c r="G969" s="48"/>
    </row>
    <row r="970" spans="6:7" ht="14.25" customHeight="1">
      <c r="F970" s="48"/>
      <c r="G970" s="48"/>
    </row>
    <row r="971" spans="6:7" ht="14.25" customHeight="1">
      <c r="F971" s="48"/>
      <c r="G971" s="48"/>
    </row>
    <row r="972" spans="6:7" ht="14.25" customHeight="1">
      <c r="F972" s="48"/>
      <c r="G972" s="48"/>
    </row>
    <row r="973" spans="6:7" ht="14.25" customHeight="1">
      <c r="F973" s="48"/>
      <c r="G973" s="48"/>
    </row>
    <row r="974" spans="6:7" ht="14.25" customHeight="1">
      <c r="F974" s="48"/>
      <c r="G974" s="48"/>
    </row>
    <row r="975" spans="6:7" ht="14.25" customHeight="1">
      <c r="F975" s="48"/>
      <c r="G975" s="48"/>
    </row>
    <row r="976" spans="6:7" ht="14.25" customHeight="1">
      <c r="F976" s="48"/>
      <c r="G976" s="48"/>
    </row>
    <row r="977" spans="6:7" ht="14.25" customHeight="1">
      <c r="F977" s="48"/>
      <c r="G977" s="48"/>
    </row>
    <row r="978" spans="6:7" ht="14.25" customHeight="1">
      <c r="F978" s="48"/>
      <c r="G978" s="48"/>
    </row>
    <row r="979" spans="6:7" ht="14.25" customHeight="1">
      <c r="F979" s="48"/>
      <c r="G979" s="48"/>
    </row>
    <row r="980" spans="6:7" ht="14.25" customHeight="1">
      <c r="F980" s="48"/>
      <c r="G980" s="48"/>
    </row>
    <row r="981" spans="6:7" ht="14.25" customHeight="1">
      <c r="F981" s="48"/>
      <c r="G981" s="48"/>
    </row>
    <row r="982" spans="6:7" ht="14.25" customHeight="1">
      <c r="F982" s="48"/>
      <c r="G982" s="48"/>
    </row>
    <row r="983" spans="6:7" ht="14.25" customHeight="1">
      <c r="F983" s="48"/>
      <c r="G983" s="48"/>
    </row>
    <row r="984" spans="6:7" ht="14.25" customHeight="1">
      <c r="F984" s="48"/>
      <c r="G984" s="48"/>
    </row>
    <row r="985" spans="6:7" ht="14.25" customHeight="1">
      <c r="F985" s="48"/>
      <c r="G985" s="48"/>
    </row>
    <row r="986" spans="6:7" ht="14.25" customHeight="1">
      <c r="F986" s="48"/>
      <c r="G986" s="48"/>
    </row>
    <row r="987" spans="6:7" ht="14.25" customHeight="1">
      <c r="F987" s="48"/>
      <c r="G987" s="48"/>
    </row>
    <row r="988" spans="6:7" ht="14.25" customHeight="1">
      <c r="F988" s="48"/>
      <c r="G988" s="48"/>
    </row>
    <row r="989" spans="6:7" ht="14.25" customHeight="1">
      <c r="F989" s="48"/>
      <c r="G989" s="48"/>
    </row>
    <row r="990" spans="6:7" ht="14.25" customHeight="1">
      <c r="F990" s="48"/>
      <c r="G990" s="48"/>
    </row>
    <row r="991" spans="6:7" ht="14.25" customHeight="1">
      <c r="F991" s="48"/>
      <c r="G991" s="48"/>
    </row>
    <row r="992" spans="6:7" ht="14.25" customHeight="1">
      <c r="F992" s="48"/>
      <c r="G992" s="48"/>
    </row>
    <row r="993" spans="6:7" ht="14.25" customHeight="1">
      <c r="F993" s="48"/>
      <c r="G993" s="48"/>
    </row>
    <row r="994" spans="6:7" ht="14.25" customHeight="1">
      <c r="F994" s="48"/>
      <c r="G994" s="48"/>
    </row>
    <row r="995" spans="6:7" ht="14.25" customHeight="1">
      <c r="F995" s="48"/>
      <c r="G995" s="48"/>
    </row>
    <row r="996" spans="6:7" ht="14.25" customHeight="1">
      <c r="F996" s="48"/>
      <c r="G996" s="48"/>
    </row>
    <row r="997" spans="6:7" ht="14.25" customHeight="1">
      <c r="F997" s="48"/>
      <c r="G997" s="48"/>
    </row>
    <row r="998" spans="6:7" ht="14.25" customHeight="1">
      <c r="F998" s="48"/>
      <c r="G998" s="48"/>
    </row>
    <row r="999" spans="6:7" ht="14.25" customHeight="1">
      <c r="F999" s="48"/>
      <c r="G999" s="48"/>
    </row>
    <row r="1000" spans="6:7" ht="14.25" customHeight="1">
      <c r="F1000" s="48"/>
      <c r="G1000" s="48"/>
    </row>
    <row r="1001" spans="6:7" ht="14.25" customHeight="1">
      <c r="F1001" s="48"/>
      <c r="G1001" s="48"/>
    </row>
    <row r="1002" spans="6:7" ht="14.25" customHeight="1">
      <c r="F1002" s="48"/>
      <c r="G1002" s="48"/>
    </row>
    <row r="1003" spans="6:7" ht="14.25" customHeight="1">
      <c r="F1003" s="48"/>
      <c r="G1003" s="48"/>
    </row>
    <row r="1004" spans="6:7" ht="14.25" customHeight="1">
      <c r="F1004" s="48"/>
      <c r="G1004" s="48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Dashboard </vt:lpstr>
      <vt:lpstr>QV en TO ronde 1</vt:lpstr>
      <vt:lpstr>QV en TO ronde 2</vt:lpstr>
      <vt:lpstr>QV en TO ronde 4</vt:lpstr>
      <vt:lpstr>QV en TO ronde 3</vt:lpstr>
      <vt:lpstr>QV en TO ronde 5</vt:lpstr>
      <vt:lpstr>QV en TO ronde 6</vt:lpstr>
      <vt:lpstr>Keuzes</vt:lpstr>
      <vt:lpstr>Uitkomst Ronde 1</vt:lpstr>
      <vt:lpstr>Uitkomst Ronde 2</vt:lpstr>
      <vt:lpstr>Uitkomst ronde 3</vt:lpstr>
      <vt:lpstr>Uitkomst ronde 4</vt:lpstr>
      <vt:lpstr>Uitkomst ronde 5</vt:lpstr>
      <vt:lpstr>Uitkomst ronde 6</vt:lpstr>
      <vt:lpstr>Kosten</vt:lpstr>
      <vt:lpstr>Capaciteit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Vek</dc:creator>
  <cp:lastModifiedBy>johan heurter</cp:lastModifiedBy>
  <dcterms:created xsi:type="dcterms:W3CDTF">2021-11-18T19:35:25Z</dcterms:created>
  <dcterms:modified xsi:type="dcterms:W3CDTF">2021-11-19T08:31:40Z</dcterms:modified>
</cp:coreProperties>
</file>